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даток1" sheetId="1" r:id="rId1"/>
    <sheet name="Додаток1 скор" sheetId="2" state="hidden" r:id="rId2"/>
    <sheet name="Додаток2 скор" sheetId="3" state="hidden" r:id="rId3"/>
    <sheet name="Двоставк" sheetId="4" state="hidden" r:id="rId4"/>
    <sheet name="Додаток5" sheetId="5" state="hidden" r:id="rId5"/>
    <sheet name="Додаток 5" sheetId="6" state="hidden" r:id="rId6"/>
  </sheets>
  <definedNames>
    <definedName name="_xlfn_IFERROR">NA()</definedName>
    <definedName name="Z_8839ED87_9C42_4CC2_A1AD_6EF9611832A1__wvu_Cols" localSheetId="5">'Додаток 5'!$K:$T</definedName>
    <definedName name="Z_8839ED87_9C42_4CC2_A1AD_6EF9611832A1__wvu_Cols" localSheetId="0">'Додаток1'!$N:$N</definedName>
    <definedName name="Z_8839ED87_9C42_4CC2_A1AD_6EF9611832A1__wvu_Cols" localSheetId="1">('Додаток1 скор'!$C:$G,'Додаток1 скор'!$W:$AD)</definedName>
    <definedName name="Z_8839ED87_9C42_4CC2_A1AD_6EF9611832A1__wvu_Cols" localSheetId="2">('Додаток2 скор'!$C:$G,'Додаток2 скор'!$W:$AD)</definedName>
    <definedName name="Z_8839ED87_9C42_4CC2_A1AD_6EF9611832A1__wvu_PrintArea" localSheetId="3">'Двоставк'!$A$1:$J$57</definedName>
    <definedName name="Z_8839ED87_9C42_4CC2_A1AD_6EF9611832A1__wvu_PrintArea" localSheetId="5">'Додаток 5'!$A$1:$J$57</definedName>
    <definedName name="Z_8839ED87_9C42_4CC2_A1AD_6EF9611832A1__wvu_PrintArea" localSheetId="0">'Додаток1'!$A$1:$M$48</definedName>
    <definedName name="Z_8839ED87_9C42_4CC2_A1AD_6EF9611832A1__wvu_PrintArea" localSheetId="1">'Додаток1 скор'!$A$1:$V$54</definedName>
    <definedName name="Z_8839ED87_9C42_4CC2_A1AD_6EF9611832A1__wvu_PrintArea" localSheetId="2">'Додаток2 скор'!$A$1:$V$52</definedName>
    <definedName name="Z_8839ED87_9C42_4CC2_A1AD_6EF9611832A1__wvu_PrintArea" localSheetId="4">'Додаток5'!$A$1:$C$22</definedName>
    <definedName name="Z_8839ED87_9C42_4CC2_A1AD_6EF9611832A1__wvu_Rows" localSheetId="3">('Двоставк'!$27:$27,'Двоставк'!$31:$31,'Двоставк'!$38:$38,'Двоставк'!$49:$49,'Двоставк'!$53:$53)</definedName>
    <definedName name="Z_8839ED87_9C42_4CC2_A1AD_6EF9611832A1__wvu_Rows" localSheetId="5">('Додаток 5'!$25:$25,'Додаток 5'!$29:$29,'Додаток 5'!$31:$31,'Додаток 5'!$37:$37,'Додаток 5'!$44:$44,'Додаток 5'!$49:$49,'Додаток 5'!$53:$53,'Додаток 5'!$56:$56)</definedName>
    <definedName name="Z_8839ED87_9C42_4CC2_A1AD_6EF9611832A1__wvu_Rows" localSheetId="0">('Додаток1'!$30:$32,'Додаток1'!$39:$39,'Додаток1'!$48:$48,'Додаток1'!$51:$51)</definedName>
    <definedName name="Z_8839ED87_9C42_4CC2_A1AD_6EF9611832A1__wvu_Rows" localSheetId="1">('Додаток1 скор'!$37:$39,'Додаток1 скор'!$45:$45)</definedName>
    <definedName name="Z_8839ED87_9C42_4CC2_A1AD_6EF9611832A1__wvu_Rows" localSheetId="2">('Додаток2 скор'!$36:$38,'Додаток2 скор'!$44:$44)</definedName>
    <definedName name="Z_B233FDC7_B79B_43AD_9288_8B6C8ACB6ACB__wvu_PrintArea" localSheetId="3">'Двоставк'!$A$1:$J$57</definedName>
    <definedName name="Z_B233FDC7_B79B_43AD_9288_8B6C8ACB6ACB__wvu_PrintArea" localSheetId="0">'Додаток1'!$A$1:$M$51</definedName>
    <definedName name="Z_B233FDC7_B79B_43AD_9288_8B6C8ACB6ACB__wvu_PrintArea" localSheetId="1">'Додаток1 скор'!$A$1:$V$57</definedName>
    <definedName name="Z_B233FDC7_B79B_43AD_9288_8B6C8ACB6ACB__wvu_Rows" localSheetId="3">('Двоставк'!$27:$27,'Двоставк'!$31:$31,'Двоставк'!$38:$38,'Двоставк'!$49:$49,'Двоставк'!$53:$53)</definedName>
    <definedName name="Z_BF9F446D_D2F9_4EAA_BD71_B531E336462E__wvu_Cols" localSheetId="5">'Додаток 5'!$K:$T</definedName>
    <definedName name="Z_BF9F446D_D2F9_4EAA_BD71_B531E336462E__wvu_Cols" localSheetId="0">'Додаток1'!$N:$N</definedName>
    <definedName name="Z_BF9F446D_D2F9_4EAA_BD71_B531E336462E__wvu_Cols" localSheetId="1">('Додаток1 скор'!$C:$C,'Додаток1 скор'!$W:$AD)</definedName>
    <definedName name="Z_BF9F446D_D2F9_4EAA_BD71_B531E336462E__wvu_Cols" localSheetId="2">('Додаток2 скор'!$C:$C,'Додаток2 скор'!$W:$AD)</definedName>
    <definedName name="Z_BF9F446D_D2F9_4EAA_BD71_B531E336462E__wvu_PrintArea" localSheetId="3">'Двоставк'!$A$1:$J$57</definedName>
    <definedName name="Z_BF9F446D_D2F9_4EAA_BD71_B531E336462E__wvu_PrintArea" localSheetId="5">'Додаток 5'!$A$1:$J$57</definedName>
    <definedName name="Z_BF9F446D_D2F9_4EAA_BD71_B531E336462E__wvu_PrintArea" localSheetId="0">'Додаток1'!$A$1:$M$48</definedName>
    <definedName name="Z_BF9F446D_D2F9_4EAA_BD71_B531E336462E__wvu_PrintArea" localSheetId="1">'Додаток1 скор'!$A$1:$V$54</definedName>
    <definedName name="Z_BF9F446D_D2F9_4EAA_BD71_B531E336462E__wvu_PrintArea" localSheetId="2">'Додаток2 скор'!$A$1:$V$52</definedName>
    <definedName name="Z_BF9F446D_D2F9_4EAA_BD71_B531E336462E__wvu_PrintArea" localSheetId="4">'Додаток5'!$A$1:$C$22</definedName>
    <definedName name="Z_BF9F446D_D2F9_4EAA_BD71_B531E336462E__wvu_Rows" localSheetId="3">('Двоставк'!$27:$27,'Двоставк'!$31:$31,'Двоставк'!$38:$38,'Двоставк'!$49:$49,'Двоставк'!$53:$53)</definedName>
    <definedName name="Z_BF9F446D_D2F9_4EAA_BD71_B531E336462E__wvu_Rows" localSheetId="5">('Додаток 5'!$25:$25,'Додаток 5'!$29:$29,'Додаток 5'!$31:$31,'Додаток 5'!$37:$37,'Додаток 5'!$44:$44,'Додаток 5'!$49:$49,'Додаток 5'!$53:$53,'Додаток 5'!$56:$56)</definedName>
    <definedName name="Z_BF9F446D_D2F9_4EAA_BD71_B531E336462E__wvu_Rows" localSheetId="0">('Додаток1'!$30:$32,'Додаток1'!$39:$39,'Додаток1'!$48:$48,'Додаток1'!$51:$51)</definedName>
    <definedName name="Z_BF9F446D_D2F9_4EAA_BD71_B531E336462E__wvu_Rows" localSheetId="1">('Додаток1 скор'!$37:$39,'Додаток1 скор'!$45:$45)</definedName>
    <definedName name="Z_BF9F446D_D2F9_4EAA_BD71_B531E336462E__wvu_Rows" localSheetId="2">('Додаток2 скор'!$36:$38,'Додаток2 скор'!$44:$44)</definedName>
    <definedName name="_xlnm.Print_Area" localSheetId="3">'Двоставк'!$A$1:$J$57</definedName>
    <definedName name="_xlnm.Print_Area" localSheetId="5">'Додаток 5'!$A$1:$J$57</definedName>
    <definedName name="_xlnm.Print_Area" localSheetId="0">'Додаток1'!$A$1:$R$49</definedName>
    <definedName name="_xlnm.Print_Area" localSheetId="1">'Додаток1 скор'!$A$1:$V$54</definedName>
    <definedName name="_xlnm.Print_Area" localSheetId="2">'Додаток2 скор'!$A$1:$V$52</definedName>
    <definedName name="_xlnm.Print_Area" localSheetId="4">'Додаток5'!$A$1:$C$22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T11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прибавлені пеллеті317,56 разбивка вручную
</t>
        </r>
      </text>
    </comment>
    <comment ref="T21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182,99 пеллеті перенесені в топливо
</t>
        </r>
      </text>
    </comment>
    <comment ref="T22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суммарно звв- доля на послугу</t>
        </r>
      </text>
    </comment>
    <comment ref="T26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суммарно админ затраты - доля на послугу</t>
        </r>
      </text>
    </comment>
    <comment ref="T12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є-єн из виробн и трансп</t>
        </r>
      </text>
    </comment>
  </commentList>
</comments>
</file>

<file path=xl/sharedStrings.xml><?xml version="1.0" encoding="utf-8"?>
<sst xmlns="http://schemas.openxmlformats.org/spreadsheetml/2006/main" count="632" uniqueCount="213">
  <si>
    <t>Без ПДВ</t>
  </si>
  <si>
    <t xml:space="preserve">№ з/п </t>
  </si>
  <si>
    <t xml:space="preserve">Найменування показників </t>
  </si>
  <si>
    <t xml:space="preserve">Сумарні та середньо-зважені показники                  </t>
  </si>
  <si>
    <t>Для потреб населення</t>
  </si>
  <si>
    <t>Для потреб бюджетних установ</t>
  </si>
  <si>
    <t xml:space="preserve">Для потреб інших споживачів </t>
  </si>
  <si>
    <t>тис. грн на рік</t>
  </si>
  <si>
    <t>грн/Гкал</t>
  </si>
  <si>
    <t>тис.грн на рік</t>
  </si>
  <si>
    <t xml:space="preserve">Виробнича собівартість, у т. ч.: </t>
  </si>
  <si>
    <t>1.1</t>
  </si>
  <si>
    <t xml:space="preserve">прямі матеріальні витрати, у т. ч.: </t>
  </si>
  <si>
    <t>1.1.1</t>
  </si>
  <si>
    <t xml:space="preserve">витрати на паливо </t>
  </si>
  <si>
    <t>1.1.2</t>
  </si>
  <si>
    <t>витрати на електроенергію</t>
  </si>
  <si>
    <t>1.1.3</t>
  </si>
  <si>
    <t>собівартість теплової енергії власних ТЕЦ, ТЕС, КГУ</t>
  </si>
  <si>
    <t>1.1.4</t>
  </si>
  <si>
    <t>витрати на покупну теплову енергію</t>
  </si>
  <si>
    <t>1.1.6</t>
  </si>
  <si>
    <t xml:space="preserve">вода для технологічних потреб та водовідведення </t>
  </si>
  <si>
    <t>1.1.7</t>
  </si>
  <si>
    <t xml:space="preserve">матеріали, запасні частини та інші матеріальні ресурси </t>
  </si>
  <si>
    <t>1.2</t>
  </si>
  <si>
    <t>1.3</t>
  </si>
  <si>
    <t xml:space="preserve">інші прямі витрати, у т. ч.: </t>
  </si>
  <si>
    <t>1.3.1</t>
  </si>
  <si>
    <t xml:space="preserve">амортизаційні відрахування </t>
  </si>
  <si>
    <t>1.3.2</t>
  </si>
  <si>
    <t xml:space="preserve">інші прямі витрати </t>
  </si>
  <si>
    <t>1.4</t>
  </si>
  <si>
    <t xml:space="preserve">загальновиробничі витрати, у т. ч.: </t>
  </si>
  <si>
    <t>1.4.1</t>
  </si>
  <si>
    <t>1.4.2</t>
  </si>
  <si>
    <t xml:space="preserve">інші витрати </t>
  </si>
  <si>
    <t>2</t>
  </si>
  <si>
    <t xml:space="preserve">Адміністративні витрати, у т. ч.: </t>
  </si>
  <si>
    <t>2.1</t>
  </si>
  <si>
    <t>2.2</t>
  </si>
  <si>
    <t>3.1</t>
  </si>
  <si>
    <t xml:space="preserve">витрати на оплату праці </t>
  </si>
  <si>
    <t>3.2</t>
  </si>
  <si>
    <t xml:space="preserve">відрахування на соціальні заходи </t>
  </si>
  <si>
    <t>3.3</t>
  </si>
  <si>
    <t>Інші операційні витрати</t>
  </si>
  <si>
    <t xml:space="preserve">Фінансові витрати </t>
  </si>
  <si>
    <t>Повна собівартість</t>
  </si>
  <si>
    <t>Витрати на покриття втрат</t>
  </si>
  <si>
    <t xml:space="preserve">Розрахунковий прибуток, у т. ч.: </t>
  </si>
  <si>
    <t>7.1</t>
  </si>
  <si>
    <t xml:space="preserve">податок на прибуток </t>
  </si>
  <si>
    <t>7.2</t>
  </si>
  <si>
    <t xml:space="preserve">дивіденди </t>
  </si>
  <si>
    <t>7.3</t>
  </si>
  <si>
    <t xml:space="preserve">на розвиток виробництва (виробничі інвестиції) </t>
  </si>
  <si>
    <t>7.4</t>
  </si>
  <si>
    <t xml:space="preserve">Вартість  теплової енергії за відповідними тарифами </t>
  </si>
  <si>
    <t xml:space="preserve">Обсяг реалізації теплової енергії власним споживачам, Гкал </t>
  </si>
  <si>
    <t>Член Комісії</t>
  </si>
  <si>
    <t>В.Кальченко</t>
  </si>
  <si>
    <t xml:space="preserve">Начальник Управління тарифної політики в сфері теплопостачання </t>
  </si>
  <si>
    <t>М.Расковський</t>
  </si>
  <si>
    <r>
      <t>Розрахунок тарифів на теплову енергію шляхом коригування узгоджених Департаментом тарифної політики у сфері теплопостачання тарифів за заявою ліцензіата                                                                              КП "Лисичанськтепломережа" (</t>
    </r>
    <r>
      <rPr>
        <b/>
        <sz val="15"/>
        <color indexed="10"/>
        <rFont val="Times New Roman"/>
        <family val="1"/>
      </rPr>
      <t>вхідний № ______________</t>
    </r>
    <r>
      <rPr>
        <b/>
        <sz val="15"/>
        <rFont val="Times New Roman"/>
        <family val="1"/>
      </rPr>
      <t>) на зміну цін природного газу і покупної теплової енергії та собівартості теплової енергії власних ТЕЦ, ТЕС, КГУ відповідно до пункту 8 Порядку формування тарифів на теплову енергію, її виробництво, транспортування, постачання, затвердженого постановою КМУ від 01.06.2011 № 869</t>
    </r>
  </si>
  <si>
    <t xml:space="preserve">Одиниця виміру </t>
  </si>
  <si>
    <t xml:space="preserve">Сумарні та середньозважені показники           </t>
  </si>
  <si>
    <t xml:space="preserve">Для потреб населення                      </t>
  </si>
  <si>
    <t xml:space="preserve">Для потреб бюджетних установ </t>
  </si>
  <si>
    <t xml:space="preserve">Для потреб інших споживачів                  </t>
  </si>
  <si>
    <t xml:space="preserve">Сумарні та середньо зважені показники                  </t>
  </si>
  <si>
    <t>Для бюджетних установ</t>
  </si>
  <si>
    <t xml:space="preserve">Для  інших споживачів </t>
  </si>
  <si>
    <t>За заявою ліцензіата</t>
  </si>
  <si>
    <t>Скориговані показники</t>
  </si>
  <si>
    <t>Коефі-цієнт зміни</t>
  </si>
  <si>
    <t>раз</t>
  </si>
  <si>
    <t xml:space="preserve">тис. грн </t>
  </si>
  <si>
    <t xml:space="preserve">витрати на паливо, у т. ч.: </t>
  </si>
  <si>
    <t>1.1.1.1</t>
  </si>
  <si>
    <t>природний газ</t>
  </si>
  <si>
    <t>1.1.1.2</t>
  </si>
  <si>
    <t>інші види палива</t>
  </si>
  <si>
    <t xml:space="preserve">витрати на електроенергію </t>
  </si>
  <si>
    <t>собівартість теплової енергії власних ТЕЦ, ТЕС, КГУ, у т. ч.:</t>
  </si>
  <si>
    <t>1.1.3.1</t>
  </si>
  <si>
    <t>1.1.3.2</t>
  </si>
  <si>
    <t>витрати на покупну теплову енергію у т. ч.:</t>
  </si>
  <si>
    <t>1.1.4.1</t>
  </si>
  <si>
    <t>1.1.4.2</t>
  </si>
  <si>
    <t>1.1.5</t>
  </si>
  <si>
    <t xml:space="preserve">прямі витрати на оплату праці </t>
  </si>
  <si>
    <t>1.3.3</t>
  </si>
  <si>
    <t>1.4.3</t>
  </si>
  <si>
    <t>2.3</t>
  </si>
  <si>
    <t>Витрати на збут</t>
  </si>
  <si>
    <t>інше використання прибутку (прибуток у тарифах НКРЕ)</t>
  </si>
  <si>
    <t xml:space="preserve">Вартість виробництва теплової енергії за відповідними тарифами </t>
  </si>
  <si>
    <t>Тарифи на виробництво теплової енергії, грн/Гкал</t>
  </si>
  <si>
    <t xml:space="preserve">Гкал </t>
  </si>
  <si>
    <t>Рівень рентабельності, %</t>
  </si>
  <si>
    <t>Діючі тарифи на теплову енергію</t>
  </si>
  <si>
    <r>
      <t>Розрахунок тарифів на виробництво теплової енергії шляхом коригування узгоджених Департаментом тарифної політики у сфері теплопостачання тарифів за заявою ліцензіата                        КП "Лисичанськтепломережа"(вх</t>
    </r>
    <r>
      <rPr>
        <b/>
        <sz val="15"/>
        <color indexed="10"/>
        <rFont val="Times New Roman"/>
        <family val="1"/>
      </rPr>
      <t>ідний №____________</t>
    </r>
    <r>
      <rPr>
        <b/>
        <sz val="15"/>
        <rFont val="Times New Roman"/>
        <family val="1"/>
      </rPr>
      <t>) на зміну цін природного газу і покупної теплової енергії та собівартості теплової енергії власних ТЕЦ, ТЕС, КГУ відповідно до пункту 8 Порядку формування тарифів на теплову енергію, її виробництво, транспортування, постачання, затвердженого постановою КМУ від 01.06.2011 № 869</t>
    </r>
  </si>
  <si>
    <t xml:space="preserve">Для потреб населення                       </t>
  </si>
  <si>
    <t xml:space="preserve">резервний фонд (капітал) та дивіденди </t>
  </si>
  <si>
    <t>Сумарні та середньо зважені показники</t>
  </si>
  <si>
    <t xml:space="preserve">до постанови </t>
  </si>
  <si>
    <t>Для  бюджетних установ</t>
  </si>
  <si>
    <t>Додаток  5</t>
  </si>
  <si>
    <t>_________________№______</t>
  </si>
  <si>
    <t>Структура двоставкових тарифів на теплову енергію</t>
  </si>
  <si>
    <t xml:space="preserve">без ПДВ </t>
  </si>
  <si>
    <t>Сумарні та середньозважені показники</t>
  </si>
  <si>
    <t>Для потреб 
населення</t>
  </si>
  <si>
    <t>Для потреб  бюджетних установ</t>
  </si>
  <si>
    <t>Для потреб інших споживачів</t>
  </si>
  <si>
    <t>грн/Гкал, грн/Гкал/год</t>
  </si>
  <si>
    <t xml:space="preserve">Теплове навантаження об'єктів теплоспоживання власних споживачів, Гкал/год </t>
  </si>
  <si>
    <t xml:space="preserve">Виробництво теплової енергії </t>
  </si>
  <si>
    <t xml:space="preserve">Повна планова собівартість виробництва теплової енергії, у т. ч.: </t>
  </si>
  <si>
    <t xml:space="preserve">умовно-змінні витрати, у т. ч.: </t>
  </si>
  <si>
    <t>3.1.1</t>
  </si>
  <si>
    <t xml:space="preserve">витрати на технологічне паливо для виробництва теплової енергії котельнями </t>
  </si>
  <si>
    <t>3.1.2</t>
  </si>
  <si>
    <t xml:space="preserve">витрати на технологічну електроенергію для виробництва теплової енергії котельнями </t>
  </si>
  <si>
    <t>3.1.3</t>
  </si>
  <si>
    <t xml:space="preserve"> собівартість виробництва власних ТЕЦ, ТЕС, АЕС, когенераційних установок</t>
  </si>
  <si>
    <t>3.1.4</t>
  </si>
  <si>
    <t xml:space="preserve">покупна теплова енергія </t>
  </si>
  <si>
    <t xml:space="preserve">умовно-постійні витрати, усього - решта витрат собівартості виробництва теплової енергії </t>
  </si>
  <si>
    <t xml:space="preserve">Плановий прибуток у тарифах на виробництво теплової енергії, у т. ч.: </t>
  </si>
  <si>
    <t>4.1</t>
  </si>
  <si>
    <t xml:space="preserve">в умовно-змінній частині </t>
  </si>
  <si>
    <t>4.2</t>
  </si>
  <si>
    <t xml:space="preserve">в умовно-постійній частині </t>
  </si>
  <si>
    <t xml:space="preserve">Умовно-змінна частина двоставкового тарифу на виробництво теплової енергії, грн/Гкал, у т. ч.: </t>
  </si>
  <si>
    <t>5.1</t>
  </si>
  <si>
    <t xml:space="preserve">складова собівартості  </t>
  </si>
  <si>
    <t>5.2</t>
  </si>
  <si>
    <t xml:space="preserve">складова прибутку </t>
  </si>
  <si>
    <t>5.3</t>
  </si>
  <si>
    <t xml:space="preserve">рівень рентабельності </t>
  </si>
  <si>
    <r>
      <t>Умовно-постійна частина двоставкового тарифу на виробництво теплової енергії (</t>
    </r>
    <r>
      <rPr>
        <b/>
        <sz val="12"/>
        <rFont val="Times New Roman"/>
        <family val="1"/>
      </rPr>
      <t>місячна плата</t>
    </r>
    <r>
      <rPr>
        <b/>
        <sz val="12.5"/>
        <rFont val="Times New Roman"/>
        <family val="1"/>
      </rPr>
      <t xml:space="preserve"> на </t>
    </r>
    <r>
      <rPr>
        <b/>
        <sz val="12"/>
        <rFont val="Times New Roman"/>
        <family val="1"/>
      </rPr>
      <t>одиницю теплового навантаження</t>
    </r>
    <r>
      <rPr>
        <b/>
        <sz val="12.5"/>
        <rFont val="Times New Roman"/>
        <family val="1"/>
      </rPr>
      <t xml:space="preserve">), грн/Гкал/год: </t>
    </r>
  </si>
  <si>
    <t>6.1</t>
  </si>
  <si>
    <t xml:space="preserve">складова собівартості </t>
  </si>
  <si>
    <t>6.2</t>
  </si>
  <si>
    <t>6.3</t>
  </si>
  <si>
    <t xml:space="preserve">Транспортування теплової енергії </t>
  </si>
  <si>
    <t xml:space="preserve">Повна планова собівартість транспортування теплової енергії, умовно-постійні витрати </t>
  </si>
  <si>
    <t xml:space="preserve">Плановий прибуток у тарифах на транспортування теплової енергії </t>
  </si>
  <si>
    <t xml:space="preserve">Місячна плата за транспортування теплової енергії на одиницю теплового навантаження, грн/Гкал/год, у т.ч.: </t>
  </si>
  <si>
    <t>9.1</t>
  </si>
  <si>
    <t>9.2</t>
  </si>
  <si>
    <t>складова прибутку</t>
  </si>
  <si>
    <t>9.3</t>
  </si>
  <si>
    <t xml:space="preserve">Постачання теплової енергії </t>
  </si>
  <si>
    <t xml:space="preserve">Повна планова собівартість постачання теплової енергії, усього - умовно-постійні витрати </t>
  </si>
  <si>
    <t xml:space="preserve">Плановий прибуток у тарифах на постачання теплової енергії </t>
  </si>
  <si>
    <t xml:space="preserve">Місячна плата за постачання теплової енергії на одиницю теплового навантаження, грн/Гкал/год: </t>
  </si>
  <si>
    <t>12.1</t>
  </si>
  <si>
    <t>12.2</t>
  </si>
  <si>
    <t xml:space="preserve">складова прибутку  </t>
  </si>
  <si>
    <t xml:space="preserve">Двоставкові тарифи на теплову енергію для кінцевих споживачів </t>
  </si>
  <si>
    <t xml:space="preserve">Умовно-змінна частина двоставкового тарифу на теплову енергію,  грн/Гкал, у т. ч.: </t>
  </si>
  <si>
    <t>13.1</t>
  </si>
  <si>
    <t>13.2</t>
  </si>
  <si>
    <t>13.3</t>
  </si>
  <si>
    <t xml:space="preserve">Умовно-постійна частина двоставкового тарифу на теплову енергію ( місячна плата на одиницю теплового навантаження), грн/Гкал/год, у т. ч.: </t>
  </si>
  <si>
    <t>14.1</t>
  </si>
  <si>
    <t>14.2</t>
  </si>
  <si>
    <t>14.3</t>
  </si>
  <si>
    <t>Директор Департаменту тарифної політики у сфері теплопостачання</t>
  </si>
  <si>
    <t xml:space="preserve"> М.Расковський</t>
  </si>
  <si>
    <t xml:space="preserve">                               Додаток 5</t>
  </si>
  <si>
    <t xml:space="preserve">                               до постанови</t>
  </si>
  <si>
    <t xml:space="preserve">                               ___________№_________</t>
  </si>
  <si>
    <t xml:space="preserve">Джерела фінансування Інвестиційної програми </t>
  </si>
  <si>
    <t>Джерела фінансування</t>
  </si>
  <si>
    <t>сума,  грн</t>
  </si>
  <si>
    <t>Усього з урахуванням ПДВ</t>
  </si>
  <si>
    <t>Усього без урахування ПДВ, у тому числі:</t>
  </si>
  <si>
    <t>амортизаційні відрахування</t>
  </si>
  <si>
    <t>інвестиційна складова прибутку на розвиток виробництва (капітальні інвестиції на будівництво, реконструкцію, модернізацію об`ектів теплопостачання)</t>
  </si>
  <si>
    <t>інші джерела</t>
  </si>
  <si>
    <t xml:space="preserve">       </t>
  </si>
  <si>
    <t>Заступник директора
Департаменту тарифної політики
у сфері теплопостачання                                                             Є. Магльованний</t>
  </si>
  <si>
    <t xml:space="preserve">Директор Департаменту регулювання відносин,
інвестиційної політики та технічного розвитку
у сфері теплопостачання                                                                       С. Кремена </t>
  </si>
  <si>
    <t>від_________№______________</t>
  </si>
  <si>
    <t xml:space="preserve">Структура двоставкових тарифів на теплову енергію   </t>
  </si>
  <si>
    <t xml:space="preserve">N з/п </t>
  </si>
  <si>
    <t>Для інших споживачів</t>
  </si>
  <si>
    <t xml:space="preserve">умовно- змінні витрати, у т. ч.: </t>
  </si>
  <si>
    <t>покупна теплова енергія та собівартість виробництва власних ТЕЦ, ТЕС, АЕС, когенераційних установок</t>
  </si>
  <si>
    <t xml:space="preserve">умовно- постійні витрати, усього - решта витрат собівартості виробництва теплової енергії </t>
  </si>
  <si>
    <t xml:space="preserve">Теплове навантаження об'єктів теплоспоживання власних споживачів та споживачів інших власників теплової енергії, яка транспортується мережами ліцензіата </t>
  </si>
  <si>
    <t xml:space="preserve">Повна планова собівартість транспортування теплової енергії власним споживачам, - умовно-постійні витрати </t>
  </si>
  <si>
    <t>12.3</t>
  </si>
  <si>
    <t>М. Расковський</t>
  </si>
  <si>
    <t>фактично</t>
  </si>
  <si>
    <t>тис. грн</t>
  </si>
  <si>
    <t>затверджено в тарифі на рік</t>
  </si>
  <si>
    <t xml:space="preserve">Виконання фінансового плану витрат  на теплову енергію </t>
  </si>
  <si>
    <t>Доход від реалізації теплової енергії споживачам</t>
  </si>
  <si>
    <t>проверка</t>
  </si>
  <si>
    <t>Заст.директора з економічних питань</t>
  </si>
  <si>
    <t>О.А.Сібірцева</t>
  </si>
  <si>
    <t>тис.грн.,без ПДВ</t>
  </si>
  <si>
    <t xml:space="preserve">Директор </t>
  </si>
  <si>
    <t xml:space="preserve"> 1.3.1</t>
  </si>
  <si>
    <t xml:space="preserve"> відрахув.на соц. заходи</t>
  </si>
  <si>
    <t xml:space="preserve"> 2.2</t>
  </si>
  <si>
    <t>О.М.Голуб</t>
  </si>
  <si>
    <t>по КП "Лисичанськтепломережа" за 6 місяців  2021р.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</si>
</sst>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.00\ &quot;₴&quot;_-;\-* #,##0.00\ &quot;₴&quot;_-;_-* &quot;-&quot;??\ &quot;₴&quot;_-;_-@_-"/>
    <numFmt numFmtId="180" formatCode="_-* #,##0.00\ _г_р_н_._-;\-* #,##0.00\ _г_р_н_._-;_-* \-??\ _г_р_н_._-;_-@_-"/>
    <numFmt numFmtId="181" formatCode="_(* #,##0.00_);_(* \(#,##0.00\);_(* \-??_);_(@_)"/>
    <numFmt numFmtId="182" formatCode="dd/mm/yy"/>
    <numFmt numFmtId="183" formatCode="0.0000"/>
    <numFmt numFmtId="184" formatCode="0.000"/>
    <numFmt numFmtId="185" formatCode="#,##0.000"/>
    <numFmt numFmtId="186" formatCode="0.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7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5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.5"/>
      <name val="Times New Roman"/>
      <family val="1"/>
    </font>
    <font>
      <b/>
      <sz val="10.5"/>
      <name val="Times New Roman"/>
      <family val="1"/>
    </font>
    <font>
      <sz val="11.5"/>
      <name val="Times New Roman"/>
      <family val="1"/>
    </font>
    <font>
      <sz val="10.5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5"/>
      <name val="Times New Roman"/>
      <family val="1"/>
    </font>
    <font>
      <b/>
      <sz val="15"/>
      <color indexed="10"/>
      <name val="Times New Roman"/>
      <family val="1"/>
    </font>
    <font>
      <b/>
      <sz val="10"/>
      <color indexed="8"/>
      <name val="Calibri"/>
      <family val="2"/>
    </font>
    <font>
      <sz val="16"/>
      <name val="Times New Roman"/>
      <family val="1"/>
    </font>
    <font>
      <sz val="11"/>
      <name val="Arial"/>
      <family val="2"/>
    </font>
    <font>
      <sz val="10.5"/>
      <name val="Arial"/>
      <family val="2"/>
    </font>
    <font>
      <sz val="12.5"/>
      <name val="Times New Roman"/>
      <family val="1"/>
    </font>
    <font>
      <b/>
      <sz val="12.5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sz val="13"/>
      <name val="Times New Roman"/>
      <family val="1"/>
    </font>
    <font>
      <b/>
      <sz val="10.5"/>
      <name val="Arial"/>
      <family val="2"/>
    </font>
    <font>
      <b/>
      <sz val="11.5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1" fillId="3" borderId="0" applyNumberFormat="0" applyBorder="0" applyAlignment="0" applyProtection="0"/>
    <xf numFmtId="0" fontId="56" fillId="4" borderId="0" applyNumberFormat="0" applyBorder="0" applyAlignment="0" applyProtection="0"/>
    <xf numFmtId="0" fontId="1" fillId="5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56" fillId="12" borderId="0" applyNumberFormat="0" applyBorder="0" applyAlignment="0" applyProtection="0"/>
    <xf numFmtId="0" fontId="1" fillId="13" borderId="0" applyNumberFormat="0" applyBorder="0" applyAlignment="0" applyProtection="0"/>
    <xf numFmtId="0" fontId="56" fillId="14" borderId="0" applyNumberFormat="0" applyBorder="0" applyAlignment="0" applyProtection="0"/>
    <xf numFmtId="0" fontId="1" fillId="15" borderId="0" applyNumberFormat="0" applyBorder="0" applyAlignment="0" applyProtection="0"/>
    <xf numFmtId="0" fontId="56" fillId="16" borderId="0" applyNumberFormat="0" applyBorder="0" applyAlignment="0" applyProtection="0"/>
    <xf numFmtId="0" fontId="1" fillId="17" borderId="0" applyNumberFormat="0" applyBorder="0" applyAlignment="0" applyProtection="0"/>
    <xf numFmtId="0" fontId="56" fillId="18" borderId="0" applyNumberFormat="0" applyBorder="0" applyAlignment="0" applyProtection="0"/>
    <xf numFmtId="0" fontId="1" fillId="19" borderId="0" applyNumberFormat="0" applyBorder="0" applyAlignment="0" applyProtection="0"/>
    <xf numFmtId="0" fontId="56" fillId="20" borderId="0" applyNumberFormat="0" applyBorder="0" applyAlignment="0" applyProtection="0"/>
    <xf numFmtId="0" fontId="1" fillId="9" borderId="0" applyNumberFormat="0" applyBorder="0" applyAlignment="0" applyProtection="0"/>
    <xf numFmtId="0" fontId="56" fillId="21" borderId="0" applyNumberFormat="0" applyBorder="0" applyAlignment="0" applyProtection="0"/>
    <xf numFmtId="0" fontId="1" fillId="15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57" fillId="24" borderId="0" applyNumberFormat="0" applyBorder="0" applyAlignment="0" applyProtection="0"/>
    <xf numFmtId="0" fontId="2" fillId="25" borderId="0" applyNumberFormat="0" applyBorder="0" applyAlignment="0" applyProtection="0"/>
    <xf numFmtId="0" fontId="57" fillId="26" borderId="0" applyNumberFormat="0" applyBorder="0" applyAlignment="0" applyProtection="0"/>
    <xf numFmtId="0" fontId="2" fillId="17" borderId="0" applyNumberFormat="0" applyBorder="0" applyAlignment="0" applyProtection="0"/>
    <xf numFmtId="0" fontId="57" fillId="27" borderId="0" applyNumberFormat="0" applyBorder="0" applyAlignment="0" applyProtection="0"/>
    <xf numFmtId="0" fontId="2" fillId="19" borderId="0" applyNumberFormat="0" applyBorder="0" applyAlignment="0" applyProtection="0"/>
    <xf numFmtId="0" fontId="57" fillId="28" borderId="0" applyNumberFormat="0" applyBorder="0" applyAlignment="0" applyProtection="0"/>
    <xf numFmtId="0" fontId="2" fillId="29" borderId="0" applyNumberFormat="0" applyBorder="0" applyAlignment="0" applyProtection="0"/>
    <xf numFmtId="0" fontId="57" fillId="30" borderId="0" applyNumberFormat="0" applyBorder="0" applyAlignment="0" applyProtection="0"/>
    <xf numFmtId="0" fontId="2" fillId="31" borderId="0" applyNumberFormat="0" applyBorder="0" applyAlignment="0" applyProtection="0"/>
    <xf numFmtId="0" fontId="57" fillId="32" borderId="0" applyNumberFormat="0" applyBorder="0" applyAlignment="0" applyProtection="0"/>
    <xf numFmtId="0" fontId="2" fillId="33" borderId="0" applyNumberFormat="0" applyBorder="0" applyAlignment="0" applyProtection="0"/>
    <xf numFmtId="180" fontId="0" fillId="0" borderId="0" applyFill="0" applyBorder="0" applyAlignment="0" applyProtection="0"/>
    <xf numFmtId="0" fontId="57" fillId="34" borderId="0" applyNumberFormat="0" applyBorder="0" applyAlignment="0" applyProtection="0"/>
    <xf numFmtId="0" fontId="2" fillId="35" borderId="0" applyNumberFormat="0" applyBorder="0" applyAlignment="0" applyProtection="0"/>
    <xf numFmtId="0" fontId="57" fillId="36" borderId="0" applyNumberFormat="0" applyBorder="0" applyAlignment="0" applyProtection="0"/>
    <xf numFmtId="0" fontId="2" fillId="37" borderId="0" applyNumberFormat="0" applyBorder="0" applyAlignment="0" applyProtection="0"/>
    <xf numFmtId="0" fontId="57" fillId="38" borderId="0" applyNumberFormat="0" applyBorder="0" applyAlignment="0" applyProtection="0"/>
    <xf numFmtId="0" fontId="2" fillId="39" borderId="0" applyNumberFormat="0" applyBorder="0" applyAlignment="0" applyProtection="0"/>
    <xf numFmtId="0" fontId="57" fillId="40" borderId="0" applyNumberFormat="0" applyBorder="0" applyAlignment="0" applyProtection="0"/>
    <xf numFmtId="0" fontId="2" fillId="29" borderId="0" applyNumberFormat="0" applyBorder="0" applyAlignment="0" applyProtection="0"/>
    <xf numFmtId="0" fontId="57" fillId="41" borderId="0" applyNumberFormat="0" applyBorder="0" applyAlignment="0" applyProtection="0"/>
    <xf numFmtId="0" fontId="2" fillId="31" borderId="0" applyNumberFormat="0" applyBorder="0" applyAlignment="0" applyProtection="0"/>
    <xf numFmtId="0" fontId="57" fillId="42" borderId="0" applyNumberFormat="0" applyBorder="0" applyAlignment="0" applyProtection="0"/>
    <xf numFmtId="0" fontId="2" fillId="43" borderId="0" applyNumberFormat="0" applyBorder="0" applyAlignment="0" applyProtection="0"/>
    <xf numFmtId="0" fontId="58" fillId="44" borderId="1" applyNumberFormat="0" applyAlignment="0" applyProtection="0"/>
    <xf numFmtId="0" fontId="3" fillId="13" borderId="2" applyNumberFormat="0" applyAlignment="0" applyProtection="0"/>
    <xf numFmtId="0" fontId="59" fillId="45" borderId="3" applyNumberFormat="0" applyAlignment="0" applyProtection="0"/>
    <xf numFmtId="0" fontId="4" fillId="46" borderId="4" applyNumberFormat="0" applyAlignment="0" applyProtection="0"/>
    <xf numFmtId="0" fontId="60" fillId="45" borderId="1" applyNumberFormat="0" applyAlignment="0" applyProtection="0"/>
    <xf numFmtId="0" fontId="5" fillId="4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0" borderId="5" applyNumberFormat="0" applyFill="0" applyAlignment="0" applyProtection="0"/>
    <xf numFmtId="0" fontId="6" fillId="0" borderId="6" applyNumberFormat="0" applyFill="0" applyAlignment="0" applyProtection="0"/>
    <xf numFmtId="0" fontId="62" fillId="0" borderId="7" applyNumberFormat="0" applyFill="0" applyAlignment="0" applyProtection="0"/>
    <xf numFmtId="0" fontId="7" fillId="0" borderId="8" applyNumberFormat="0" applyFill="0" applyAlignment="0" applyProtection="0"/>
    <xf numFmtId="0" fontId="63" fillId="0" borderId="9" applyNumberFormat="0" applyFill="0" applyAlignment="0" applyProtection="0"/>
    <xf numFmtId="0" fontId="8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9" fillId="0" borderId="12" applyNumberFormat="0" applyFill="0" applyAlignment="0" applyProtection="0"/>
    <xf numFmtId="0" fontId="65" fillId="47" borderId="13" applyNumberFormat="0" applyAlignment="0" applyProtection="0"/>
    <xf numFmtId="0" fontId="10" fillId="48" borderId="14" applyNumberFormat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7" fillId="49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8" fillId="51" borderId="0" applyNumberFormat="0" applyBorder="0" applyAlignment="0" applyProtection="0"/>
    <xf numFmtId="0" fontId="14" fillId="5" borderId="0" applyNumberFormat="0" applyBorder="0" applyAlignment="0" applyProtection="0"/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9" fontId="0" fillId="0" borderId="0" applyFill="0" applyBorder="0" applyAlignment="0" applyProtection="0"/>
    <xf numFmtId="0" fontId="70" fillId="0" borderId="17" applyNumberFormat="0" applyFill="0" applyAlignment="0" applyProtection="0"/>
    <xf numFmtId="0" fontId="16" fillId="0" borderId="18" applyNumberFormat="0" applyFill="0" applyAlignment="0" applyProtection="0"/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0" fontId="72" fillId="54" borderId="0" applyNumberFormat="0" applyBorder="0" applyAlignment="0" applyProtection="0"/>
    <xf numFmtId="0" fontId="18" fillId="7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NumberFormat="1" applyFont="1" applyFill="1" applyBorder="1" applyAlignment="1">
      <alignment horizontal="center" wrapText="1"/>
    </xf>
    <xf numFmtId="0" fontId="31" fillId="0" borderId="19" xfId="0" applyNumberFormat="1" applyFont="1" applyFill="1" applyBorder="1" applyAlignment="1">
      <alignment horizontal="center" wrapText="1"/>
    </xf>
    <xf numFmtId="0" fontId="31" fillId="0" borderId="0" xfId="0" applyNumberFormat="1" applyFont="1" applyFill="1" applyBorder="1" applyAlignment="1">
      <alignment horizontal="center" wrapText="1"/>
    </xf>
    <xf numFmtId="0" fontId="27" fillId="0" borderId="19" xfId="0" applyFont="1" applyFill="1" applyBorder="1" applyAlignment="1">
      <alignment wrapText="1"/>
    </xf>
    <xf numFmtId="2" fontId="29" fillId="0" borderId="19" xfId="0" applyNumberFormat="1" applyFont="1" applyFill="1" applyBorder="1" applyAlignment="1">
      <alignment horizontal="center" vertical="center" wrapText="1"/>
    </xf>
    <xf numFmtId="2" fontId="29" fillId="0" borderId="19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49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wrapText="1"/>
    </xf>
    <xf numFmtId="2" fontId="31" fillId="0" borderId="19" xfId="0" applyNumberFormat="1" applyFont="1" applyFill="1" applyBorder="1" applyAlignment="1">
      <alignment horizontal="center" vertical="center" wrapText="1"/>
    </xf>
    <xf numFmtId="2" fontId="31" fillId="0" borderId="19" xfId="0" applyNumberFormat="1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0" fillId="0" borderId="19" xfId="0" applyFont="1" applyFill="1" applyBorder="1" applyAlignment="1">
      <alignment vertical="center" wrapText="1"/>
    </xf>
    <xf numFmtId="0" fontId="27" fillId="0" borderId="19" xfId="0" applyFont="1" applyFill="1" applyBorder="1" applyAlignment="1">
      <alignment horizontal="left" wrapText="1"/>
    </xf>
    <xf numFmtId="0" fontId="28" fillId="0" borderId="19" xfId="0" applyFont="1" applyFill="1" applyBorder="1" applyAlignment="1">
      <alignment/>
    </xf>
    <xf numFmtId="0" fontId="29" fillId="0" borderId="19" xfId="0" applyFont="1" applyFill="1" applyBorder="1" applyAlignment="1">
      <alignment/>
    </xf>
    <xf numFmtId="0" fontId="27" fillId="0" borderId="19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0" fillId="55" borderId="0" xfId="0" applyFill="1" applyAlignment="1">
      <alignment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7" fillId="0" borderId="21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32" fillId="0" borderId="19" xfId="0" applyNumberFormat="1" applyFont="1" applyFill="1" applyBorder="1" applyAlignment="1">
      <alignment horizontal="center" wrapText="1"/>
    </xf>
    <xf numFmtId="0" fontId="27" fillId="0" borderId="19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horizontal="center" wrapText="1"/>
    </xf>
    <xf numFmtId="2" fontId="30" fillId="0" borderId="19" xfId="0" applyNumberFormat="1" applyFont="1" applyFill="1" applyBorder="1" applyAlignment="1">
      <alignment horizontal="center" vertical="center" wrapText="1"/>
    </xf>
    <xf numFmtId="183" fontId="30" fillId="0" borderId="19" xfId="0" applyNumberFormat="1" applyFont="1" applyFill="1" applyBorder="1" applyAlignment="1">
      <alignment horizontal="center" vertical="center" wrapText="1"/>
    </xf>
    <xf numFmtId="184" fontId="30" fillId="0" borderId="19" xfId="0" applyNumberFormat="1" applyFont="1" applyFill="1" applyBorder="1" applyAlignment="1">
      <alignment horizontal="center" vertical="center" wrapText="1"/>
    </xf>
    <xf numFmtId="2" fontId="28" fillId="0" borderId="19" xfId="0" applyNumberFormat="1" applyFont="1" applyFill="1" applyBorder="1" applyAlignment="1">
      <alignment horizontal="center" vertical="center"/>
    </xf>
    <xf numFmtId="184" fontId="28" fillId="0" borderId="19" xfId="0" applyNumberFormat="1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wrapText="1"/>
    </xf>
    <xf numFmtId="2" fontId="32" fillId="0" borderId="19" xfId="0" applyNumberFormat="1" applyFont="1" applyFill="1" applyBorder="1" applyAlignment="1">
      <alignment horizontal="center" vertical="center" wrapText="1"/>
    </xf>
    <xf numFmtId="183" fontId="32" fillId="0" borderId="19" xfId="0" applyNumberFormat="1" applyFont="1" applyFill="1" applyBorder="1" applyAlignment="1">
      <alignment horizontal="center" vertical="center" wrapText="1"/>
    </xf>
    <xf numFmtId="184" fontId="32" fillId="0" borderId="19" xfId="0" applyNumberFormat="1" applyFont="1" applyFill="1" applyBorder="1" applyAlignment="1">
      <alignment horizontal="center" vertical="center" wrapText="1"/>
    </xf>
    <xf numFmtId="2" fontId="19" fillId="0" borderId="19" xfId="0" applyNumberFormat="1" applyFont="1" applyFill="1" applyBorder="1" applyAlignment="1">
      <alignment horizontal="center" vertical="center"/>
    </xf>
    <xf numFmtId="184" fontId="22" fillId="0" borderId="19" xfId="0" applyNumberFormat="1" applyFont="1" applyFill="1" applyBorder="1" applyAlignment="1">
      <alignment horizontal="center" vertical="center" wrapText="1"/>
    </xf>
    <xf numFmtId="2" fontId="22" fillId="0" borderId="19" xfId="0" applyNumberFormat="1" applyFont="1" applyFill="1" applyBorder="1" applyAlignment="1">
      <alignment horizontal="center" vertical="center" wrapText="1"/>
    </xf>
    <xf numFmtId="184" fontId="32" fillId="0" borderId="22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vertical="center" wrapText="1"/>
    </xf>
    <xf numFmtId="184" fontId="32" fillId="55" borderId="22" xfId="0" applyNumberFormat="1" applyFont="1" applyFill="1" applyBorder="1" applyAlignment="1">
      <alignment horizontal="center" vertical="center" wrapText="1"/>
    </xf>
    <xf numFmtId="2" fontId="19" fillId="55" borderId="19" xfId="0" applyNumberFormat="1" applyFont="1" applyFill="1" applyBorder="1" applyAlignment="1">
      <alignment horizontal="center" vertical="center"/>
    </xf>
    <xf numFmtId="184" fontId="22" fillId="55" borderId="19" xfId="0" applyNumberFormat="1" applyFont="1" applyFill="1" applyBorder="1" applyAlignment="1">
      <alignment horizontal="center" vertical="center" wrapText="1"/>
    </xf>
    <xf numFmtId="2" fontId="22" fillId="55" borderId="19" xfId="0" applyNumberFormat="1" applyFont="1" applyFill="1" applyBorder="1" applyAlignment="1">
      <alignment horizontal="center" vertical="center" wrapText="1"/>
    </xf>
    <xf numFmtId="2" fontId="28" fillId="55" borderId="0" xfId="0" applyNumberFormat="1" applyFont="1" applyFill="1" applyAlignment="1">
      <alignment/>
    </xf>
    <xf numFmtId="0" fontId="0" fillId="55" borderId="0" xfId="0" applyFont="1" applyFill="1" applyAlignment="1">
      <alignment wrapText="1"/>
    </xf>
    <xf numFmtId="0" fontId="0" fillId="55" borderId="0" xfId="0" applyFont="1" applyFill="1" applyAlignment="1">
      <alignment/>
    </xf>
    <xf numFmtId="184" fontId="30" fillId="0" borderId="22" xfId="0" applyNumberFormat="1" applyFont="1" applyFill="1" applyBorder="1" applyAlignment="1">
      <alignment horizontal="center" vertical="center" wrapText="1"/>
    </xf>
    <xf numFmtId="2" fontId="30" fillId="0" borderId="22" xfId="0" applyNumberFormat="1" applyFont="1" applyFill="1" applyBorder="1" applyAlignment="1">
      <alignment horizontal="center" vertical="center" wrapText="1"/>
    </xf>
    <xf numFmtId="2" fontId="30" fillId="0" borderId="22" xfId="0" applyNumberFormat="1" applyFont="1" applyFill="1" applyBorder="1" applyAlignment="1">
      <alignment vertical="center" wrapText="1"/>
    </xf>
    <xf numFmtId="0" fontId="38" fillId="50" borderId="23" xfId="104" applyFont="1" applyFill="1" applyBorder="1" applyAlignment="1" applyProtection="1">
      <alignment horizontal="center" vertical="center" wrapText="1"/>
      <protection locked="0"/>
    </xf>
    <xf numFmtId="0" fontId="38" fillId="50" borderId="23" xfId="105" applyFont="1" applyFill="1" applyBorder="1" applyAlignment="1" applyProtection="1">
      <alignment horizontal="center" vertical="center" wrapText="1"/>
      <protection locked="0"/>
    </xf>
    <xf numFmtId="0" fontId="38" fillId="50" borderId="23" xfId="106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7" fillId="0" borderId="19" xfId="0" applyFont="1" applyFill="1" applyBorder="1" applyAlignment="1">
      <alignment horizontal="center" wrapText="1"/>
    </xf>
    <xf numFmtId="49" fontId="20" fillId="0" borderId="19" xfId="0" applyNumberFormat="1" applyFont="1" applyFill="1" applyBorder="1" applyAlignment="1">
      <alignment horizontal="center" wrapText="1"/>
    </xf>
    <xf numFmtId="2" fontId="30" fillId="55" borderId="19" xfId="0" applyNumberFormat="1" applyFont="1" applyFill="1" applyBorder="1" applyAlignment="1">
      <alignment horizontal="center" vertical="center" wrapText="1"/>
    </xf>
    <xf numFmtId="2" fontId="32" fillId="55" borderId="19" xfId="0" applyNumberFormat="1" applyFont="1" applyFill="1" applyBorder="1" applyAlignment="1">
      <alignment horizontal="center" vertical="center" wrapText="1"/>
    </xf>
    <xf numFmtId="2" fontId="32" fillId="23" borderId="19" xfId="0" applyNumberFormat="1" applyFont="1" applyFill="1" applyBorder="1" applyAlignment="1">
      <alignment horizontal="center" vertical="center" wrapText="1"/>
    </xf>
    <xf numFmtId="183" fontId="32" fillId="31" borderId="19" xfId="0" applyNumberFormat="1" applyFont="1" applyFill="1" applyBorder="1" applyAlignment="1">
      <alignment horizontal="center" vertical="center" wrapText="1"/>
    </xf>
    <xf numFmtId="2" fontId="30" fillId="23" borderId="19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wrapText="1"/>
    </xf>
    <xf numFmtId="49" fontId="32" fillId="0" borderId="24" xfId="0" applyNumberFormat="1" applyFont="1" applyFill="1" applyBorder="1" applyAlignment="1">
      <alignment horizontal="center" wrapText="1"/>
    </xf>
    <xf numFmtId="0" fontId="32" fillId="0" borderId="24" xfId="0" applyFont="1" applyFill="1" applyBorder="1" applyAlignment="1">
      <alignment wrapText="1"/>
    </xf>
    <xf numFmtId="49" fontId="32" fillId="0" borderId="19" xfId="0" applyNumberFormat="1" applyFont="1" applyFill="1" applyBorder="1" applyAlignment="1">
      <alignment horizontal="center" wrapText="1"/>
    </xf>
    <xf numFmtId="0" fontId="32" fillId="0" borderId="19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41" fillId="0" borderId="0" xfId="90" applyFont="1" applyFill="1">
      <alignment/>
      <protection/>
    </xf>
    <xf numFmtId="0" fontId="32" fillId="0" borderId="0" xfId="90" applyFont="1" applyFill="1">
      <alignment/>
      <protection/>
    </xf>
    <xf numFmtId="0" fontId="23" fillId="0" borderId="0" xfId="90" applyFont="1" applyFill="1" applyBorder="1" applyAlignment="1">
      <alignment vertical="center"/>
      <protection/>
    </xf>
    <xf numFmtId="0" fontId="33" fillId="0" borderId="0" xfId="90" applyFont="1" applyFill="1" applyBorder="1" applyAlignment="1">
      <alignment vertical="center"/>
      <protection/>
    </xf>
    <xf numFmtId="0" fontId="40" fillId="0" borderId="0" xfId="90" applyFont="1" applyFill="1">
      <alignment/>
      <protection/>
    </xf>
    <xf numFmtId="0" fontId="23" fillId="0" borderId="0" xfId="90" applyFont="1" applyFill="1" applyAlignment="1">
      <alignment/>
      <protection/>
    </xf>
    <xf numFmtId="0" fontId="33" fillId="0" borderId="0" xfId="90" applyFont="1" applyFill="1" applyAlignment="1">
      <alignment/>
      <protection/>
    </xf>
    <xf numFmtId="0" fontId="32" fillId="0" borderId="0" xfId="90" applyFont="1" applyFill="1">
      <alignment/>
      <protection/>
    </xf>
    <xf numFmtId="0" fontId="32" fillId="0" borderId="0" xfId="90" applyFont="1" applyFill="1" applyBorder="1" applyAlignment="1">
      <alignment horizontal="center"/>
      <protection/>
    </xf>
    <xf numFmtId="0" fontId="27" fillId="0" borderId="0" xfId="90" applyFont="1" applyFill="1" applyAlignment="1">
      <alignment horizontal="right"/>
      <protection/>
    </xf>
    <xf numFmtId="0" fontId="22" fillId="0" borderId="19" xfId="90" applyFont="1" applyFill="1" applyBorder="1" applyAlignment="1">
      <alignment horizontal="center" vertical="center" wrapText="1"/>
      <protection/>
    </xf>
    <xf numFmtId="0" fontId="32" fillId="0" borderId="25" xfId="90" applyFont="1" applyFill="1" applyBorder="1" applyAlignment="1">
      <alignment horizontal="center" wrapText="1"/>
      <protection/>
    </xf>
    <xf numFmtId="0" fontId="32" fillId="0" borderId="26" xfId="90" applyFont="1" applyFill="1" applyBorder="1" applyAlignment="1">
      <alignment horizontal="center" wrapText="1"/>
      <protection/>
    </xf>
    <xf numFmtId="0" fontId="41" fillId="0" borderId="26" xfId="90" applyFont="1" applyFill="1" applyBorder="1" applyAlignment="1">
      <alignment horizontal="center"/>
      <protection/>
    </xf>
    <xf numFmtId="1" fontId="20" fillId="0" borderId="19" xfId="90" applyNumberFormat="1" applyFont="1" applyFill="1" applyBorder="1" applyAlignment="1">
      <alignment horizontal="center" wrapText="1"/>
      <protection/>
    </xf>
    <xf numFmtId="2" fontId="42" fillId="0" borderId="19" xfId="90" applyNumberFormat="1" applyFont="1" applyFill="1" applyBorder="1" applyAlignment="1">
      <alignment wrapText="1"/>
      <protection/>
    </xf>
    <xf numFmtId="2" fontId="30" fillId="0" borderId="19" xfId="90" applyNumberFormat="1" applyFont="1" applyFill="1" applyBorder="1" applyAlignment="1">
      <alignment horizontal="center" vertical="center" wrapText="1"/>
      <protection/>
    </xf>
    <xf numFmtId="2" fontId="41" fillId="0" borderId="19" xfId="90" applyNumberFormat="1" applyFont="1" applyFill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1" fontId="27" fillId="0" borderId="19" xfId="90" applyNumberFormat="1" applyFont="1" applyFill="1" applyBorder="1" applyAlignment="1">
      <alignment horizontal="center" wrapText="1"/>
      <protection/>
    </xf>
    <xf numFmtId="2" fontId="43" fillId="0" borderId="19" xfId="90" applyNumberFormat="1" applyFont="1" applyFill="1" applyBorder="1" applyAlignment="1">
      <alignment wrapText="1"/>
      <protection/>
    </xf>
    <xf numFmtId="2" fontId="27" fillId="0" borderId="19" xfId="90" applyNumberFormat="1" applyFont="1" applyFill="1" applyBorder="1" applyAlignment="1">
      <alignment horizontal="center" wrapText="1"/>
      <protection/>
    </xf>
    <xf numFmtId="2" fontId="30" fillId="0" borderId="19" xfId="90" applyNumberFormat="1" applyFont="1" applyFill="1" applyBorder="1" applyAlignment="1">
      <alignment horizontal="center" wrapText="1"/>
      <protection/>
    </xf>
    <xf numFmtId="2" fontId="20" fillId="0" borderId="19" xfId="90" applyNumberFormat="1" applyFont="1" applyFill="1" applyBorder="1" applyAlignment="1">
      <alignment horizontal="center" wrapText="1"/>
      <protection/>
    </xf>
    <xf numFmtId="2" fontId="32" fillId="0" borderId="19" xfId="90" applyNumberFormat="1" applyFont="1" applyFill="1" applyBorder="1" applyAlignment="1">
      <alignment horizontal="center" vertical="center" wrapText="1"/>
      <protection/>
    </xf>
    <xf numFmtId="2" fontId="32" fillId="0" borderId="19" xfId="90" applyNumberFormat="1" applyFont="1" applyFill="1" applyBorder="1" applyAlignment="1">
      <alignment horizontal="right" wrapText="1"/>
      <protection/>
    </xf>
    <xf numFmtId="2" fontId="43" fillId="0" borderId="19" xfId="90" applyNumberFormat="1" applyFont="1" applyFill="1" applyBorder="1" applyAlignment="1">
      <alignment vertical="center" wrapText="1"/>
      <protection/>
    </xf>
    <xf numFmtId="2" fontId="44" fillId="0" borderId="19" xfId="90" applyNumberFormat="1" applyFont="1" applyFill="1" applyBorder="1" applyAlignment="1">
      <alignment horizontal="center" vertical="center" wrapText="1"/>
      <protection/>
    </xf>
    <xf numFmtId="2" fontId="45" fillId="0" borderId="19" xfId="90" applyNumberFormat="1" applyFont="1" applyFill="1" applyBorder="1" applyAlignment="1">
      <alignment horizontal="center" vertical="center" wrapText="1"/>
      <protection/>
    </xf>
    <xf numFmtId="2" fontId="32" fillId="0" borderId="19" xfId="90" applyNumberFormat="1" applyFont="1" applyFill="1" applyBorder="1" applyAlignment="1">
      <alignment horizontal="center" wrapText="1"/>
      <protection/>
    </xf>
    <xf numFmtId="2" fontId="32" fillId="0" borderId="19" xfId="90" applyNumberFormat="1" applyFont="1" applyFill="1" applyBorder="1" applyAlignment="1">
      <alignment wrapText="1"/>
      <protection/>
    </xf>
    <xf numFmtId="2" fontId="45" fillId="0" borderId="19" xfId="90" applyNumberFormat="1" applyFont="1" applyFill="1" applyBorder="1" applyAlignment="1">
      <alignment horizontal="center" wrapText="1"/>
      <protection/>
    </xf>
    <xf numFmtId="2" fontId="41" fillId="0" borderId="19" xfId="90" applyNumberFormat="1" applyFont="1" applyFill="1" applyBorder="1" applyAlignment="1">
      <alignment horizontal="center"/>
      <protection/>
    </xf>
    <xf numFmtId="2" fontId="41" fillId="0" borderId="19" xfId="90" applyNumberFormat="1" applyFont="1" applyFill="1" applyBorder="1">
      <alignment/>
      <protection/>
    </xf>
    <xf numFmtId="49" fontId="32" fillId="0" borderId="24" xfId="90" applyNumberFormat="1" applyFont="1" applyFill="1" applyBorder="1" applyAlignment="1">
      <alignment horizontal="center" wrapText="1"/>
      <protection/>
    </xf>
    <xf numFmtId="0" fontId="32" fillId="0" borderId="24" xfId="90" applyFont="1" applyFill="1" applyBorder="1" applyAlignment="1">
      <alignment wrapText="1"/>
      <protection/>
    </xf>
    <xf numFmtId="184" fontId="32" fillId="0" borderId="24" xfId="90" applyNumberFormat="1" applyFont="1" applyFill="1" applyBorder="1" applyAlignment="1">
      <alignment horizontal="right" wrapText="1"/>
      <protection/>
    </xf>
    <xf numFmtId="0" fontId="41" fillId="0" borderId="0" xfId="90" applyFont="1" applyFill="1" applyBorder="1">
      <alignment/>
      <protection/>
    </xf>
    <xf numFmtId="0" fontId="26" fillId="0" borderId="0" xfId="90" applyFont="1" applyFill="1">
      <alignment/>
      <protection/>
    </xf>
    <xf numFmtId="0" fontId="33" fillId="0" borderId="0" xfId="90" applyFont="1" applyFill="1">
      <alignment/>
      <protection/>
    </xf>
    <xf numFmtId="0" fontId="0" fillId="0" borderId="0" xfId="91">
      <alignment/>
      <protection/>
    </xf>
    <xf numFmtId="0" fontId="20" fillId="0" borderId="0" xfId="91" applyFont="1" applyFill="1" applyBorder="1" applyAlignment="1">
      <alignment vertical="center"/>
      <protection/>
    </xf>
    <xf numFmtId="0" fontId="22" fillId="0" borderId="0" xfId="91" applyFont="1" applyFill="1" applyBorder="1" applyAlignment="1">
      <alignment vertical="center"/>
      <protection/>
    </xf>
    <xf numFmtId="0" fontId="19" fillId="0" borderId="0" xfId="91" applyFont="1" applyFill="1">
      <alignment/>
      <protection/>
    </xf>
    <xf numFmtId="0" fontId="20" fillId="0" borderId="0" xfId="91" applyFont="1" applyFill="1" applyBorder="1" applyAlignment="1">
      <alignment horizontal="right" vertical="center"/>
      <protection/>
    </xf>
    <xf numFmtId="0" fontId="20" fillId="0" borderId="0" xfId="91" applyFont="1" applyFill="1" applyAlignment="1">
      <alignment wrapText="1"/>
      <protection/>
    </xf>
    <xf numFmtId="0" fontId="19" fillId="0" borderId="0" xfId="91" applyFont="1" applyFill="1" applyAlignment="1">
      <alignment wrapText="1"/>
      <protection/>
    </xf>
    <xf numFmtId="0" fontId="20" fillId="0" borderId="0" xfId="91" applyFont="1" applyFill="1" applyAlignment="1">
      <alignment/>
      <protection/>
    </xf>
    <xf numFmtId="0" fontId="19" fillId="0" borderId="0" xfId="91" applyFont="1" applyFill="1" applyAlignment="1">
      <alignment/>
      <protection/>
    </xf>
    <xf numFmtId="0" fontId="20" fillId="0" borderId="19" xfId="91" applyFont="1" applyBorder="1" applyAlignment="1">
      <alignment horizontal="center" vertical="center" wrapText="1"/>
      <protection/>
    </xf>
    <xf numFmtId="0" fontId="20" fillId="0" borderId="19" xfId="91" applyFont="1" applyBorder="1" applyAlignment="1">
      <alignment horizontal="left" vertical="center" wrapText="1"/>
      <protection/>
    </xf>
    <xf numFmtId="3" fontId="20" fillId="0" borderId="19" xfId="91" applyNumberFormat="1" applyFont="1" applyBorder="1" applyAlignment="1">
      <alignment horizontal="center" vertical="center" wrapText="1"/>
      <protection/>
    </xf>
    <xf numFmtId="0" fontId="32" fillId="0" borderId="0" xfId="91" applyFont="1" applyFill="1" applyBorder="1" applyAlignment="1">
      <alignment wrapText="1"/>
      <protection/>
    </xf>
    <xf numFmtId="0" fontId="46" fillId="0" borderId="0" xfId="91" applyFont="1" applyAlignment="1">
      <alignment/>
      <protection/>
    </xf>
    <xf numFmtId="0" fontId="25" fillId="0" borderId="0" xfId="0" applyFont="1" applyFill="1" applyBorder="1" applyAlignment="1">
      <alignment/>
    </xf>
    <xf numFmtId="0" fontId="47" fillId="0" borderId="0" xfId="91" applyFont="1" applyFill="1" applyAlignment="1">
      <alignment horizontal="left"/>
      <protection/>
    </xf>
    <xf numFmtId="2" fontId="19" fillId="56" borderId="0" xfId="91" applyNumberFormat="1" applyFont="1" applyFill="1" applyAlignment="1">
      <alignment horizontal="right"/>
      <protection/>
    </xf>
    <xf numFmtId="0" fontId="48" fillId="56" borderId="0" xfId="91" applyFont="1" applyFill="1">
      <alignment/>
      <protection/>
    </xf>
    <xf numFmtId="0" fontId="19" fillId="56" borderId="0" xfId="91" applyFont="1" applyFill="1">
      <alignment/>
      <protection/>
    </xf>
    <xf numFmtId="0" fontId="46" fillId="0" borderId="0" xfId="91" applyFont="1" applyAlignment="1">
      <alignment wrapText="1"/>
      <protection/>
    </xf>
    <xf numFmtId="0" fontId="0" fillId="0" borderId="0" xfId="91" applyFill="1">
      <alignment/>
      <protection/>
    </xf>
    <xf numFmtId="0" fontId="41" fillId="0" borderId="0" xfId="0" applyFont="1" applyFill="1" applyAlignment="1">
      <alignment/>
    </xf>
    <xf numFmtId="0" fontId="41" fillId="56" borderId="0" xfId="0" applyFont="1" applyFill="1" applyAlignment="1">
      <alignment/>
    </xf>
    <xf numFmtId="0" fontId="32" fillId="56" borderId="0" xfId="0" applyFont="1" applyFill="1" applyAlignment="1">
      <alignment/>
    </xf>
    <xf numFmtId="0" fontId="23" fillId="56" borderId="0" xfId="0" applyFont="1" applyFill="1" applyBorder="1" applyAlignment="1">
      <alignment vertical="center"/>
    </xf>
    <xf numFmtId="0" fontId="33" fillId="56" borderId="0" xfId="0" applyFont="1" applyFill="1" applyBorder="1" applyAlignment="1">
      <alignment vertical="center"/>
    </xf>
    <xf numFmtId="0" fontId="40" fillId="56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56" borderId="0" xfId="0" applyFont="1" applyFill="1" applyBorder="1" applyAlignment="1">
      <alignment horizontal="center"/>
    </xf>
    <xf numFmtId="0" fontId="27" fillId="56" borderId="0" xfId="0" applyFont="1" applyFill="1" applyAlignment="1">
      <alignment horizontal="right"/>
    </xf>
    <xf numFmtId="0" fontId="22" fillId="0" borderId="19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wrapText="1"/>
    </xf>
    <xf numFmtId="0" fontId="32" fillId="0" borderId="26" xfId="0" applyFont="1" applyFill="1" applyBorder="1" applyAlignment="1">
      <alignment horizontal="center" wrapText="1"/>
    </xf>
    <xf numFmtId="0" fontId="32" fillId="56" borderId="26" xfId="0" applyFont="1" applyFill="1" applyBorder="1" applyAlignment="1">
      <alignment horizontal="center" wrapText="1"/>
    </xf>
    <xf numFmtId="0" fontId="41" fillId="56" borderId="26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wrapText="1"/>
    </xf>
    <xf numFmtId="0" fontId="42" fillId="0" borderId="19" xfId="0" applyFont="1" applyFill="1" applyBorder="1" applyAlignment="1">
      <alignment wrapText="1"/>
    </xf>
    <xf numFmtId="2" fontId="30" fillId="3" borderId="19" xfId="0" applyNumberFormat="1" applyFont="1" applyFill="1" applyBorder="1" applyAlignment="1">
      <alignment horizontal="center" vertical="center" wrapText="1"/>
    </xf>
    <xf numFmtId="1" fontId="30" fillId="0" borderId="19" xfId="0" applyNumberFormat="1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/>
    </xf>
    <xf numFmtId="1" fontId="32" fillId="0" borderId="19" xfId="0" applyNumberFormat="1" applyFont="1" applyFill="1" applyBorder="1" applyAlignment="1">
      <alignment horizontal="center" vertical="center" wrapText="1"/>
    </xf>
    <xf numFmtId="186" fontId="30" fillId="3" borderId="19" xfId="0" applyNumberFormat="1" applyFont="1" applyFill="1" applyBorder="1" applyAlignment="1">
      <alignment horizontal="center" vertical="center" wrapText="1"/>
    </xf>
    <xf numFmtId="186" fontId="30" fillId="0" borderId="19" xfId="0" applyNumberFormat="1" applyFont="1" applyFill="1" applyBorder="1" applyAlignment="1">
      <alignment horizontal="center" vertical="center" wrapText="1"/>
    </xf>
    <xf numFmtId="186" fontId="32" fillId="0" borderId="19" xfId="0" applyNumberFormat="1" applyFont="1" applyFill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center" wrapText="1"/>
    </xf>
    <xf numFmtId="2" fontId="43" fillId="0" borderId="19" xfId="0" applyNumberFormat="1" applyFont="1" applyFill="1" applyBorder="1" applyAlignment="1">
      <alignment wrapText="1"/>
    </xf>
    <xf numFmtId="0" fontId="43" fillId="0" borderId="19" xfId="0" applyFont="1" applyFill="1" applyBorder="1" applyAlignment="1">
      <alignment wrapText="1"/>
    </xf>
    <xf numFmtId="184" fontId="30" fillId="3" borderId="19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2" fontId="47" fillId="0" borderId="0" xfId="0" applyNumberFormat="1" applyFont="1" applyFill="1" applyAlignment="1">
      <alignment/>
    </xf>
    <xf numFmtId="184" fontId="30" fillId="3" borderId="19" xfId="0" applyNumberFormat="1" applyFont="1" applyFill="1" applyBorder="1" applyAlignment="1">
      <alignment horizontal="right" wrapText="1"/>
    </xf>
    <xf numFmtId="2" fontId="42" fillId="0" borderId="19" xfId="0" applyNumberFormat="1" applyFont="1" applyFill="1" applyBorder="1" applyAlignment="1">
      <alignment wrapText="1"/>
    </xf>
    <xf numFmtId="2" fontId="32" fillId="3" borderId="19" xfId="0" applyNumberFormat="1" applyFont="1" applyFill="1" applyBorder="1" applyAlignment="1">
      <alignment horizontal="center" vertical="center" wrapText="1"/>
    </xf>
    <xf numFmtId="184" fontId="32" fillId="3" borderId="19" xfId="0" applyNumberFormat="1" applyFont="1" applyFill="1" applyBorder="1" applyAlignment="1">
      <alignment horizontal="center" vertical="center" wrapText="1"/>
    </xf>
    <xf numFmtId="2" fontId="32" fillId="3" borderId="19" xfId="0" applyNumberFormat="1" applyFont="1" applyFill="1" applyBorder="1" applyAlignment="1">
      <alignment horizontal="right" wrapText="1"/>
    </xf>
    <xf numFmtId="2" fontId="32" fillId="55" borderId="19" xfId="0" applyNumberFormat="1" applyFont="1" applyFill="1" applyBorder="1" applyAlignment="1">
      <alignment horizontal="right" wrapText="1"/>
    </xf>
    <xf numFmtId="2" fontId="43" fillId="0" borderId="19" xfId="0" applyNumberFormat="1" applyFont="1" applyFill="1" applyBorder="1" applyAlignment="1">
      <alignment vertical="center" wrapText="1"/>
    </xf>
    <xf numFmtId="2" fontId="44" fillId="0" borderId="19" xfId="0" applyNumberFormat="1" applyFont="1" applyFill="1" applyBorder="1" applyAlignment="1">
      <alignment horizontal="center" vertical="center" wrapText="1"/>
    </xf>
    <xf numFmtId="2" fontId="44" fillId="3" borderId="19" xfId="0" applyNumberFormat="1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vertical="center" wrapText="1"/>
    </xf>
    <xf numFmtId="2" fontId="45" fillId="0" borderId="19" xfId="0" applyNumberFormat="1" applyFont="1" applyFill="1" applyBorder="1" applyAlignment="1">
      <alignment horizontal="center" vertical="center" wrapText="1"/>
    </xf>
    <xf numFmtId="2" fontId="45" fillId="3" borderId="19" xfId="0" applyNumberFormat="1" applyFont="1" applyFill="1" applyBorder="1" applyAlignment="1">
      <alignment horizontal="center" vertical="center" wrapText="1"/>
    </xf>
    <xf numFmtId="2" fontId="32" fillId="0" borderId="19" xfId="0" applyNumberFormat="1" applyFont="1" applyFill="1" applyBorder="1" applyAlignment="1">
      <alignment horizontal="center" wrapText="1"/>
    </xf>
    <xf numFmtId="2" fontId="32" fillId="0" borderId="19" xfId="0" applyNumberFormat="1" applyFont="1" applyFill="1" applyBorder="1" applyAlignment="1">
      <alignment wrapText="1"/>
    </xf>
    <xf numFmtId="2" fontId="45" fillId="0" borderId="19" xfId="0" applyNumberFormat="1" applyFont="1" applyFill="1" applyBorder="1" applyAlignment="1">
      <alignment horizontal="center" wrapText="1"/>
    </xf>
    <xf numFmtId="2" fontId="45" fillId="56" borderId="19" xfId="0" applyNumberFormat="1" applyFont="1" applyFill="1" applyBorder="1" applyAlignment="1">
      <alignment horizontal="center" wrapText="1"/>
    </xf>
    <xf numFmtId="2" fontId="32" fillId="3" borderId="19" xfId="0" applyNumberFormat="1" applyFont="1" applyFill="1" applyBorder="1" applyAlignment="1">
      <alignment horizontal="center" wrapText="1"/>
    </xf>
    <xf numFmtId="2" fontId="41" fillId="56" borderId="19" xfId="0" applyNumberFormat="1" applyFont="1" applyFill="1" applyBorder="1" applyAlignment="1">
      <alignment horizontal="center"/>
    </xf>
    <xf numFmtId="2" fontId="45" fillId="3" borderId="19" xfId="0" applyNumberFormat="1" applyFont="1" applyFill="1" applyBorder="1" applyAlignment="1">
      <alignment horizontal="center" wrapText="1"/>
    </xf>
    <xf numFmtId="0" fontId="41" fillId="3" borderId="19" xfId="0" applyFont="1" applyFill="1" applyBorder="1" applyAlignment="1">
      <alignment horizontal="center"/>
    </xf>
    <xf numFmtId="2" fontId="32" fillId="56" borderId="19" xfId="0" applyNumberFormat="1" applyFont="1" applyFill="1" applyBorder="1" applyAlignment="1">
      <alignment horizontal="center" wrapText="1"/>
    </xf>
    <xf numFmtId="2" fontId="41" fillId="56" borderId="19" xfId="0" applyNumberFormat="1" applyFont="1" applyFill="1" applyBorder="1" applyAlignment="1">
      <alignment/>
    </xf>
    <xf numFmtId="0" fontId="41" fillId="3" borderId="19" xfId="0" applyFont="1" applyFill="1" applyBorder="1" applyAlignment="1">
      <alignment/>
    </xf>
    <xf numFmtId="184" fontId="32" fillId="3" borderId="19" xfId="0" applyNumberFormat="1" applyFont="1" applyFill="1" applyBorder="1" applyAlignment="1">
      <alignment horizontal="center" wrapText="1"/>
    </xf>
    <xf numFmtId="184" fontId="32" fillId="0" borderId="24" xfId="0" applyNumberFormat="1" applyFont="1" applyFill="1" applyBorder="1" applyAlignment="1">
      <alignment horizontal="right" wrapText="1"/>
    </xf>
    <xf numFmtId="184" fontId="32" fillId="56" borderId="24" xfId="0" applyNumberFormat="1" applyFont="1" applyFill="1" applyBorder="1" applyAlignment="1">
      <alignment horizontal="right" wrapText="1"/>
    </xf>
    <xf numFmtId="0" fontId="41" fillId="56" borderId="0" xfId="0" applyFont="1" applyFill="1" applyBorder="1" applyAlignment="1">
      <alignment/>
    </xf>
    <xf numFmtId="2" fontId="41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32" fillId="56" borderId="0" xfId="0" applyFont="1" applyFill="1" applyAlignment="1">
      <alignment/>
    </xf>
    <xf numFmtId="0" fontId="22" fillId="56" borderId="0" xfId="0" applyFont="1" applyFill="1" applyAlignment="1">
      <alignment/>
    </xf>
    <xf numFmtId="0" fontId="0" fillId="56" borderId="0" xfId="0" applyFill="1" applyAlignment="1">
      <alignment/>
    </xf>
    <xf numFmtId="0" fontId="35" fillId="56" borderId="0" xfId="0" applyFont="1" applyFill="1" applyAlignment="1">
      <alignment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48" fillId="56" borderId="0" xfId="0" applyFont="1" applyFill="1" applyAlignment="1">
      <alignment/>
    </xf>
    <xf numFmtId="0" fontId="28" fillId="0" borderId="0" xfId="0" applyFont="1" applyFill="1" applyBorder="1" applyAlignment="1">
      <alignment vertical="center" wrapText="1"/>
    </xf>
    <xf numFmtId="0" fontId="28" fillId="0" borderId="27" xfId="0" applyFont="1" applyFill="1" applyBorder="1" applyAlignment="1">
      <alignment/>
    </xf>
    <xf numFmtId="2" fontId="33" fillId="0" borderId="0" xfId="0" applyNumberFormat="1" applyFont="1" applyFill="1" applyAlignment="1">
      <alignment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 vertical="center" wrapText="1"/>
    </xf>
    <xf numFmtId="2" fontId="73" fillId="0" borderId="0" xfId="0" applyNumberFormat="1" applyFont="1" applyFill="1" applyAlignment="1">
      <alignment/>
    </xf>
    <xf numFmtId="14" fontId="20" fillId="0" borderId="19" xfId="0" applyNumberFormat="1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wrapText="1"/>
    </xf>
    <xf numFmtId="0" fontId="25" fillId="0" borderId="28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27" fillId="0" borderId="2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2" fontId="27" fillId="0" borderId="21" xfId="0" applyNumberFormat="1" applyFont="1" applyFill="1" applyBorder="1" applyAlignment="1">
      <alignment horizontal="center"/>
    </xf>
    <xf numFmtId="0" fontId="27" fillId="0" borderId="21" xfId="0" applyFont="1" applyFill="1" applyBorder="1" applyAlignment="1">
      <alignment horizontal="right" vertical="center"/>
    </xf>
    <xf numFmtId="0" fontId="30" fillId="0" borderId="19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/>
    </xf>
    <xf numFmtId="0" fontId="26" fillId="0" borderId="0" xfId="90" applyFont="1" applyFill="1" applyBorder="1" applyAlignment="1">
      <alignment horizontal="center" vertical="center" wrapText="1"/>
      <protection/>
    </xf>
    <xf numFmtId="0" fontId="27" fillId="0" borderId="19" xfId="90" applyFont="1" applyFill="1" applyBorder="1" applyAlignment="1">
      <alignment horizontal="center" vertical="center" wrapText="1"/>
      <protection/>
    </xf>
    <xf numFmtId="0" fontId="26" fillId="0" borderId="19" xfId="90" applyFont="1" applyFill="1" applyBorder="1" applyAlignment="1">
      <alignment horizontal="center" vertical="center" wrapText="1"/>
      <protection/>
    </xf>
    <xf numFmtId="0" fontId="26" fillId="0" borderId="34" xfId="90" applyFont="1" applyFill="1" applyBorder="1" applyAlignment="1">
      <alignment horizontal="center" vertical="center" wrapText="1"/>
      <protection/>
    </xf>
    <xf numFmtId="2" fontId="26" fillId="0" borderId="19" xfId="90" applyNumberFormat="1" applyFont="1" applyFill="1" applyBorder="1" applyAlignment="1">
      <alignment horizontal="center" wrapText="1"/>
      <protection/>
    </xf>
    <xf numFmtId="0" fontId="46" fillId="0" borderId="0" xfId="91" applyFont="1" applyBorder="1" applyAlignment="1">
      <alignment horizontal="center"/>
      <protection/>
    </xf>
    <xf numFmtId="0" fontId="46" fillId="0" borderId="0" xfId="91" applyFont="1" applyBorder="1" applyAlignment="1">
      <alignment horizontal="left" wrapText="1"/>
      <protection/>
    </xf>
    <xf numFmtId="0" fontId="32" fillId="0" borderId="0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 vertical="center" wrapText="1"/>
    </xf>
    <xf numFmtId="0" fontId="27" fillId="56" borderId="19" xfId="0" applyFont="1" applyFill="1" applyBorder="1" applyAlignment="1">
      <alignment horizontal="center" vertical="center" wrapText="1"/>
    </xf>
    <xf numFmtId="2" fontId="26" fillId="0" borderId="19" xfId="0" applyNumberFormat="1" applyFont="1" applyFill="1" applyBorder="1" applyAlignment="1">
      <alignment horizontal="center" wrapText="1"/>
    </xf>
    <xf numFmtId="0" fontId="26" fillId="0" borderId="19" xfId="0" applyFont="1" applyFill="1" applyBorder="1" applyAlignment="1">
      <alignment horizontal="center" wrapText="1"/>
    </xf>
  </cellXfs>
  <cellStyles count="11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2" xfId="89"/>
    <cellStyle name="Обычный 2 15" xfId="90"/>
    <cellStyle name="Обычный 2 2" xfId="91"/>
    <cellStyle name="Обычный 2 3" xfId="92"/>
    <cellStyle name="Обычный 2_Аналіз старих тарифів на коміссію27_10_11" xfId="93"/>
    <cellStyle name="Обычный 3" xfId="94"/>
    <cellStyle name="Обычный 3 2" xfId="95"/>
    <cellStyle name="Обычный 3 3" xfId="96"/>
    <cellStyle name="Обычный 3 4" xfId="97"/>
    <cellStyle name="Обычный 4" xfId="98"/>
    <cellStyle name="Обычный 4 2" xfId="99"/>
    <cellStyle name="Обычный 4 3" xfId="100"/>
    <cellStyle name="Обычный 4 4" xfId="101"/>
    <cellStyle name="Обычный 5" xfId="102"/>
    <cellStyle name="Обычный 6" xfId="103"/>
    <cellStyle name="Обычный 7" xfId="104"/>
    <cellStyle name="Обычный 8" xfId="105"/>
    <cellStyle name="Обычный 9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Финансовый 2" xfId="120"/>
    <cellStyle name="Финансовый 3" xfId="121"/>
    <cellStyle name="Хороший" xfId="122"/>
    <cellStyle name="Хороший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3333"/>
      <rgbColor rgb="00666699"/>
      <rgbColor rgb="00B3B3B3"/>
      <rgbColor rgb="00003366"/>
      <rgbColor rgb="0033A3A3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BM51"/>
  <sheetViews>
    <sheetView tabSelected="1" zoomScale="95" zoomScaleNormal="95" zoomScaleSheetLayoutView="95" zoomScalePageLayoutView="0" workbookViewId="0" topLeftCell="A1">
      <pane xSplit="2" ySplit="8" topLeftCell="I36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Q45" sqref="Q45"/>
    </sheetView>
  </sheetViews>
  <sheetFormatPr defaultColWidth="11.57421875" defaultRowHeight="12.75"/>
  <cols>
    <col min="1" max="1" width="7.7109375" style="1" customWidth="1"/>
    <col min="2" max="2" width="60.8515625" style="2" customWidth="1"/>
    <col min="3" max="6" width="0" style="2" hidden="1" customWidth="1"/>
    <col min="7" max="13" width="11.421875" style="2" customWidth="1"/>
    <col min="14" max="18" width="11.57421875" style="2" customWidth="1"/>
    <col min="19" max="19" width="3.421875" style="2" customWidth="1"/>
    <col min="20" max="20" width="11.57421875" style="2" customWidth="1"/>
    <col min="21" max="21" width="4.7109375" style="2" customWidth="1"/>
    <col min="22" max="22" width="13.140625" style="2" customWidth="1"/>
    <col min="23" max="16384" width="11.57421875" style="2" customWidth="1"/>
  </cols>
  <sheetData>
    <row r="1" spans="1:18" ht="9.7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7"/>
      <c r="R1" s="228"/>
    </row>
    <row r="2" spans="1:13" ht="20.25" customHeight="1">
      <c r="A2" s="240" t="s">
        <v>201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4" ht="18.75" customHeight="1">
      <c r="A3" s="240" t="s">
        <v>212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8"/>
    </row>
    <row r="4" spans="1:13" ht="18.75">
      <c r="A4" s="4"/>
      <c r="B4" s="241"/>
      <c r="C4" s="241"/>
      <c r="D4" s="241"/>
      <c r="E4" s="241"/>
      <c r="F4" s="241"/>
      <c r="G4" s="241"/>
      <c r="H4" s="241"/>
      <c r="I4" s="9"/>
      <c r="J4" s="9"/>
      <c r="K4" s="9"/>
      <c r="M4" s="10" t="s">
        <v>206</v>
      </c>
    </row>
    <row r="5" spans="1:65" ht="74.25" customHeight="1">
      <c r="A5" s="242" t="s">
        <v>1</v>
      </c>
      <c r="B5" s="242" t="s">
        <v>2</v>
      </c>
      <c r="C5" s="242" t="s">
        <v>3</v>
      </c>
      <c r="D5" s="242"/>
      <c r="E5" s="242" t="s">
        <v>4</v>
      </c>
      <c r="F5" s="242"/>
      <c r="G5" s="251" t="s">
        <v>4</v>
      </c>
      <c r="H5" s="252"/>
      <c r="I5" s="252"/>
      <c r="J5" s="252"/>
      <c r="K5" s="246" t="s">
        <v>5</v>
      </c>
      <c r="L5" s="247"/>
      <c r="M5" s="247"/>
      <c r="N5" s="247"/>
      <c r="O5" s="246" t="s">
        <v>6</v>
      </c>
      <c r="P5" s="247"/>
      <c r="Q5" s="247"/>
      <c r="R5" s="248"/>
      <c r="S5" s="12"/>
      <c r="T5" s="12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</row>
    <row r="6" spans="1:65" ht="74.25" customHeight="1">
      <c r="A6" s="242"/>
      <c r="B6" s="242"/>
      <c r="C6" s="11"/>
      <c r="D6" s="11"/>
      <c r="E6" s="11"/>
      <c r="F6" s="11"/>
      <c r="G6" s="249" t="s">
        <v>200</v>
      </c>
      <c r="H6" s="250"/>
      <c r="I6" s="249" t="s">
        <v>198</v>
      </c>
      <c r="J6" s="250"/>
      <c r="K6" s="249" t="s">
        <v>200</v>
      </c>
      <c r="L6" s="250"/>
      <c r="M6" s="244" t="s">
        <v>198</v>
      </c>
      <c r="N6" s="253"/>
      <c r="O6" s="249" t="s">
        <v>200</v>
      </c>
      <c r="P6" s="250"/>
      <c r="Q6" s="244" t="s">
        <v>198</v>
      </c>
      <c r="R6" s="245"/>
      <c r="S6" s="12"/>
      <c r="T6" s="234">
        <f>Q43+M43+I43</f>
        <v>135773.88636999996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</row>
    <row r="7" spans="1:65" ht="36.75" customHeight="1">
      <c r="A7" s="242"/>
      <c r="B7" s="242"/>
      <c r="C7" s="16" t="s">
        <v>7</v>
      </c>
      <c r="D7" s="16" t="s">
        <v>8</v>
      </c>
      <c r="E7" s="16" t="s">
        <v>7</v>
      </c>
      <c r="F7" s="16" t="s">
        <v>8</v>
      </c>
      <c r="G7" s="17" t="s">
        <v>199</v>
      </c>
      <c r="H7" s="17" t="s">
        <v>8</v>
      </c>
      <c r="I7" s="17" t="s">
        <v>199</v>
      </c>
      <c r="J7" s="17" t="s">
        <v>8</v>
      </c>
      <c r="K7" s="17" t="s">
        <v>199</v>
      </c>
      <c r="L7" s="17" t="s">
        <v>8</v>
      </c>
      <c r="M7" s="17" t="s">
        <v>199</v>
      </c>
      <c r="N7" s="17" t="s">
        <v>8</v>
      </c>
      <c r="O7" s="17" t="s">
        <v>199</v>
      </c>
      <c r="P7" s="17" t="s">
        <v>8</v>
      </c>
      <c r="Q7" s="17" t="s">
        <v>199</v>
      </c>
      <c r="R7" s="17" t="s">
        <v>8</v>
      </c>
      <c r="S7" s="18"/>
      <c r="T7" s="1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</row>
    <row r="8" spans="1:65" ht="15.75" customHeight="1">
      <c r="A8" s="19">
        <v>1</v>
      </c>
      <c r="B8" s="20">
        <v>2</v>
      </c>
      <c r="C8" s="21">
        <v>3</v>
      </c>
      <c r="D8" s="21">
        <v>4</v>
      </c>
      <c r="E8" s="21">
        <v>5</v>
      </c>
      <c r="F8" s="21">
        <v>6</v>
      </c>
      <c r="G8" s="21">
        <v>3</v>
      </c>
      <c r="H8" s="21">
        <v>4</v>
      </c>
      <c r="I8" s="21">
        <v>5</v>
      </c>
      <c r="J8" s="21">
        <v>6</v>
      </c>
      <c r="K8" s="21">
        <v>7</v>
      </c>
      <c r="L8" s="21">
        <v>8</v>
      </c>
      <c r="M8" s="21">
        <v>9</v>
      </c>
      <c r="N8" s="20">
        <v>1</v>
      </c>
      <c r="O8" s="22">
        <v>11</v>
      </c>
      <c r="P8" s="21">
        <v>12</v>
      </c>
      <c r="Q8" s="21">
        <v>13</v>
      </c>
      <c r="R8" s="21">
        <v>14</v>
      </c>
      <c r="S8" s="22"/>
      <c r="T8" s="22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</row>
    <row r="9" spans="1:26" s="28" customFormat="1" ht="15.75">
      <c r="A9" s="11">
        <v>1</v>
      </c>
      <c r="B9" s="23" t="s">
        <v>10</v>
      </c>
      <c r="C9" s="24" t="e">
        <f>'Додаток1 скор'!F8</f>
        <v>#REF!</v>
      </c>
      <c r="D9" s="24" t="e">
        <f>'Додаток1 скор'!G8</f>
        <v>#REF!</v>
      </c>
      <c r="E9" s="25" t="e">
        <f>'Додаток1 скор'!K8</f>
        <v>#REF!</v>
      </c>
      <c r="F9" s="25" t="e">
        <f>'Додаток1 скор'!L8</f>
        <v>#REF!</v>
      </c>
      <c r="G9" s="25">
        <v>151564.16</v>
      </c>
      <c r="H9" s="25">
        <v>1488.67</v>
      </c>
      <c r="I9" s="25">
        <f>I10+I17+I18+I22</f>
        <v>103834.50978005596</v>
      </c>
      <c r="J9" s="25">
        <f>I9/I45*1000</f>
        <v>2167.5367320784817</v>
      </c>
      <c r="K9" s="25">
        <v>68688.3</v>
      </c>
      <c r="L9" s="25">
        <v>1488.69</v>
      </c>
      <c r="M9" s="25">
        <f>M10+M17+M18+M22</f>
        <v>26601.95624721177</v>
      </c>
      <c r="N9" s="25">
        <f>M9/M45*1000</f>
        <v>2116.6431463807917</v>
      </c>
      <c r="O9" s="25">
        <v>4464.2</v>
      </c>
      <c r="P9" s="25">
        <v>1488.84</v>
      </c>
      <c r="Q9" s="25">
        <f>Q10+Q17+Q18+Q22</f>
        <v>1688.132342732246</v>
      </c>
      <c r="R9" s="25">
        <f>Q9/Q45*1000</f>
        <v>2165.2688131232785</v>
      </c>
      <c r="S9" s="26"/>
      <c r="T9" s="25">
        <f>T10+T17+T18+T22</f>
        <v>132124.57637</v>
      </c>
      <c r="U9" s="27"/>
      <c r="V9" s="27">
        <f>I9+M9+Q9</f>
        <v>132124.59836999996</v>
      </c>
      <c r="W9" s="27"/>
      <c r="X9" s="27">
        <f>149798.38+18102.88+278.42+3434.01</f>
        <v>171613.69000000003</v>
      </c>
      <c r="Y9" s="27"/>
      <c r="Z9" s="27"/>
    </row>
    <row r="10" spans="1:26" s="28" customFormat="1" ht="15.75">
      <c r="A10" s="11" t="s">
        <v>11</v>
      </c>
      <c r="B10" s="23" t="s">
        <v>12</v>
      </c>
      <c r="C10" s="24" t="e">
        <f>'Додаток1 скор'!F9</f>
        <v>#REF!</v>
      </c>
      <c r="D10" s="24" t="e">
        <f>'Додаток1 скор'!G9</f>
        <v>#REF!</v>
      </c>
      <c r="E10" s="25" t="e">
        <f>'Додаток1 скор'!K9</f>
        <v>#REF!</v>
      </c>
      <c r="F10" s="25" t="e">
        <f>'Додаток1 скор'!L9</f>
        <v>#REF!</v>
      </c>
      <c r="G10" s="25">
        <v>84467.77</v>
      </c>
      <c r="H10" s="25">
        <v>798.73</v>
      </c>
      <c r="I10" s="25">
        <f>I11+I12+I15+I16</f>
        <v>76867.39526158881</v>
      </c>
      <c r="J10" s="25">
        <f>I10/I45*1000</f>
        <v>1604.6004655062316</v>
      </c>
      <c r="K10" s="25">
        <v>38282.43</v>
      </c>
      <c r="L10" s="25">
        <v>798.76</v>
      </c>
      <c r="M10" s="25">
        <f>M11+M12+M15+M16</f>
        <v>19526.977189485595</v>
      </c>
      <c r="N10" s="25">
        <f>M10/M45*1000</f>
        <v>1553.7068798085418</v>
      </c>
      <c r="O10" s="25">
        <v>2486.62</v>
      </c>
      <c r="P10" s="25">
        <v>798.52</v>
      </c>
      <c r="Q10" s="25">
        <f>Q11+Q12+Q15+Q16</f>
        <v>1249.2441489255884</v>
      </c>
      <c r="R10" s="25">
        <f>Q10/Q45*1000</f>
        <v>1602.332546551026</v>
      </c>
      <c r="S10" s="26"/>
      <c r="T10" s="25">
        <f>T11+T12+T15+T16</f>
        <v>97643.5946</v>
      </c>
      <c r="U10" s="27"/>
      <c r="V10" s="27"/>
      <c r="W10" s="27"/>
      <c r="X10" s="27"/>
      <c r="Y10" s="27"/>
      <c r="Z10" s="27"/>
    </row>
    <row r="11" spans="1:65" s="35" customFormat="1" ht="15.75">
      <c r="A11" s="29" t="s">
        <v>13</v>
      </c>
      <c r="B11" s="30" t="s">
        <v>14</v>
      </c>
      <c r="C11" s="31">
        <f>'Додаток1 скор'!F10</f>
        <v>54287.13590669442</v>
      </c>
      <c r="D11" s="31">
        <f>'Додаток1 скор'!G10</f>
        <v>256.14349051308176</v>
      </c>
      <c r="E11" s="32">
        <f>'Додаток1 скор'!K10</f>
        <v>26176.1</v>
      </c>
      <c r="F11" s="32">
        <f>'Додаток1 скор'!L10</f>
        <v>173.43357140604422</v>
      </c>
      <c r="G11" s="32">
        <v>68609.02</v>
      </c>
      <c r="H11" s="25">
        <v>645.51</v>
      </c>
      <c r="I11" s="32">
        <v>63697.2</v>
      </c>
      <c r="J11" s="25">
        <f>I11/I45*1000</f>
        <v>1329.6737377872082</v>
      </c>
      <c r="K11" s="32">
        <v>31095.76</v>
      </c>
      <c r="L11" s="25">
        <v>645.55</v>
      </c>
      <c r="M11" s="32">
        <f>15842.5+229.2</f>
        <v>16071.7</v>
      </c>
      <c r="N11" s="25">
        <f>M11/M45*1000</f>
        <v>1278.7801520895182</v>
      </c>
      <c r="O11" s="32">
        <v>2019.11</v>
      </c>
      <c r="P11" s="25">
        <v>645.15</v>
      </c>
      <c r="Q11" s="32">
        <f>1029.7+5.2</f>
        <v>1034.9</v>
      </c>
      <c r="R11" s="25">
        <f>Q11/Q45*1000</f>
        <v>1327.405818832001</v>
      </c>
      <c r="S11" s="33"/>
      <c r="T11" s="32">
        <f>80574.578+229.2</f>
        <v>80803.77799999999</v>
      </c>
      <c r="U11" s="27"/>
      <c r="V11" s="27">
        <f>Q11+M11+I11</f>
        <v>80803.8</v>
      </c>
      <c r="W11" s="27"/>
      <c r="X11" s="27"/>
      <c r="Y11" s="27"/>
      <c r="Z11" s="27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</row>
    <row r="12" spans="1:65" s="35" customFormat="1" ht="15.75">
      <c r="A12" s="29" t="s">
        <v>15</v>
      </c>
      <c r="B12" s="30" t="s">
        <v>16</v>
      </c>
      <c r="C12" s="31" t="e">
        <f>'Додаток1 скор'!F13</f>
        <v>#REF!</v>
      </c>
      <c r="D12" s="31" t="e">
        <f>'Додаток1 скор'!G13</f>
        <v>#REF!</v>
      </c>
      <c r="E12" s="32" t="e">
        <f>'Додаток1 скор'!K13</f>
        <v>#REF!</v>
      </c>
      <c r="F12" s="32" t="e">
        <f>'Додаток1 скор'!L13</f>
        <v>#REF!</v>
      </c>
      <c r="G12" s="32">
        <v>14083.81</v>
      </c>
      <c r="H12" s="25">
        <v>134.57</v>
      </c>
      <c r="I12" s="32">
        <f>T12/V44*I45</f>
        <v>11582.173007765688</v>
      </c>
      <c r="J12" s="25">
        <f>I12/I45*1000</f>
        <v>241.77689560818865</v>
      </c>
      <c r="K12" s="32">
        <v>6382.33</v>
      </c>
      <c r="L12" s="25">
        <v>134.56</v>
      </c>
      <c r="M12" s="32">
        <f>T12/V44*M45</f>
        <v>3038.6503315654463</v>
      </c>
      <c r="N12" s="25">
        <f>M12/M45*1000</f>
        <v>241.77689560818868</v>
      </c>
      <c r="O12" s="32">
        <v>415.19</v>
      </c>
      <c r="P12" s="25">
        <v>134.71</v>
      </c>
      <c r="Q12" s="32">
        <f>T12-M12-I12</f>
        <v>188.49918066886494</v>
      </c>
      <c r="R12" s="25">
        <f>Q12/Q45*1000</f>
        <v>241.7768956081901</v>
      </c>
      <c r="S12" s="33"/>
      <c r="T12" s="32">
        <f>13762.899+1044.499+1.92452</f>
        <v>14809.32252</v>
      </c>
      <c r="U12" s="27"/>
      <c r="V12" s="27"/>
      <c r="W12" s="27"/>
      <c r="X12" s="27"/>
      <c r="Y12" s="27"/>
      <c r="Z12" s="27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</row>
    <row r="13" spans="1:65" s="35" customFormat="1" ht="31.5">
      <c r="A13" s="29" t="s">
        <v>17</v>
      </c>
      <c r="B13" s="36" t="s">
        <v>18</v>
      </c>
      <c r="C13" s="31">
        <f>'Додаток1 скор'!F14</f>
        <v>0</v>
      </c>
      <c r="D13" s="31">
        <f>'Додаток1 скор'!G14</f>
        <v>0</v>
      </c>
      <c r="E13" s="32">
        <f>'Додаток1 скор'!K14</f>
        <v>0</v>
      </c>
      <c r="F13" s="32">
        <f>'Додаток1 скор'!L14</f>
        <v>0</v>
      </c>
      <c r="G13" s="32">
        <v>0</v>
      </c>
      <c r="H13" s="25">
        <f>G13/G45*1000</f>
        <v>0</v>
      </c>
      <c r="I13" s="32">
        <f>T13/V44*I45</f>
        <v>0</v>
      </c>
      <c r="J13" s="25">
        <f>I13/I45*1000</f>
        <v>0</v>
      </c>
      <c r="K13" s="32">
        <v>0</v>
      </c>
      <c r="L13" s="25">
        <f>K13/K45*1000</f>
        <v>0</v>
      </c>
      <c r="M13" s="32">
        <v>0</v>
      </c>
      <c r="N13" s="25">
        <f>M13/M45*1000</f>
        <v>0</v>
      </c>
      <c r="O13" s="32">
        <v>0</v>
      </c>
      <c r="P13" s="25">
        <f>O13/O45*1000</f>
        <v>0</v>
      </c>
      <c r="Q13" s="32">
        <v>0</v>
      </c>
      <c r="R13" s="25">
        <f>Q13/Q45*1000</f>
        <v>0</v>
      </c>
      <c r="S13" s="33"/>
      <c r="T13" s="32">
        <v>0</v>
      </c>
      <c r="U13" s="27"/>
      <c r="V13" s="27"/>
      <c r="W13" s="27"/>
      <c r="X13" s="27"/>
      <c r="Y13" s="27"/>
      <c r="Z13" s="27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</row>
    <row r="14" spans="1:65" s="35" customFormat="1" ht="15.75">
      <c r="A14" s="29" t="s">
        <v>19</v>
      </c>
      <c r="B14" s="36" t="s">
        <v>20</v>
      </c>
      <c r="C14" s="31">
        <f>'Додаток1 скор'!F17</f>
        <v>0</v>
      </c>
      <c r="D14" s="31">
        <f>'Додаток1 скор'!G17</f>
        <v>0</v>
      </c>
      <c r="E14" s="32">
        <f>'Додаток1 скор'!K17</f>
        <v>0</v>
      </c>
      <c r="F14" s="32">
        <f>'Додаток1 скор'!L17</f>
        <v>0</v>
      </c>
      <c r="G14" s="32">
        <v>0</v>
      </c>
      <c r="H14" s="25">
        <f>G14/G45*1000</f>
        <v>0</v>
      </c>
      <c r="I14" s="32">
        <v>0</v>
      </c>
      <c r="J14" s="25">
        <f>I14/I45*1000</f>
        <v>0</v>
      </c>
      <c r="K14" s="32">
        <v>0</v>
      </c>
      <c r="L14" s="25">
        <f>K14/K45*1000</f>
        <v>0</v>
      </c>
      <c r="M14" s="32">
        <v>0</v>
      </c>
      <c r="N14" s="25">
        <f>M14/M45*1000</f>
        <v>0</v>
      </c>
      <c r="O14" s="32">
        <v>0</v>
      </c>
      <c r="P14" s="25">
        <f>O14/O45*1000</f>
        <v>0</v>
      </c>
      <c r="Q14" s="32">
        <v>0</v>
      </c>
      <c r="R14" s="25">
        <f>Q14/Q45*1000</f>
        <v>0</v>
      </c>
      <c r="S14" s="33"/>
      <c r="T14" s="32">
        <v>0</v>
      </c>
      <c r="U14" s="27"/>
      <c r="V14" s="27"/>
      <c r="W14" s="27"/>
      <c r="X14" s="27"/>
      <c r="Y14" s="27"/>
      <c r="Z14" s="27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</row>
    <row r="15" spans="1:65" s="35" customFormat="1" ht="31.5">
      <c r="A15" s="29" t="s">
        <v>21</v>
      </c>
      <c r="B15" s="30" t="s">
        <v>22</v>
      </c>
      <c r="C15" s="31" t="e">
        <f>'Додаток1 скор'!F21</f>
        <v>#REF!</v>
      </c>
      <c r="D15" s="31" t="e">
        <f>'Додаток1 скор'!G21</f>
        <v>#REF!</v>
      </c>
      <c r="E15" s="32" t="e">
        <f>'Додаток1 скор'!K21</f>
        <v>#REF!</v>
      </c>
      <c r="F15" s="32" t="e">
        <f>'Додаток1 скор'!L21</f>
        <v>#REF!</v>
      </c>
      <c r="G15" s="32">
        <v>1186.98</v>
      </c>
      <c r="H15" s="25">
        <v>12.85</v>
      </c>
      <c r="I15" s="32">
        <f>T15/V44*I45</f>
        <v>940.1651205481689</v>
      </c>
      <c r="J15" s="25">
        <f>I15/I45*1000</f>
        <v>19.625868483645203</v>
      </c>
      <c r="K15" s="32">
        <v>537.9</v>
      </c>
      <c r="L15" s="25">
        <v>12.85</v>
      </c>
      <c r="M15" s="32">
        <f>T15/V44*M45</f>
        <v>246.65777772137352</v>
      </c>
      <c r="N15" s="25">
        <f>M15/M45*1000</f>
        <v>19.625868483645203</v>
      </c>
      <c r="O15" s="32">
        <v>34.98</v>
      </c>
      <c r="P15" s="25">
        <v>12.86</v>
      </c>
      <c r="Q15" s="32">
        <f>T15-M15-I15</f>
        <v>15.301131730457655</v>
      </c>
      <c r="R15" s="25">
        <f>Q15/Q45*1000</f>
        <v>19.625868483645235</v>
      </c>
      <c r="S15" s="33"/>
      <c r="T15" s="32">
        <f>890.874+310.062+1.18803</f>
        <v>1202.1240300000002</v>
      </c>
      <c r="U15" s="27"/>
      <c r="V15" s="27"/>
      <c r="W15" s="27"/>
      <c r="X15" s="27"/>
      <c r="Y15" s="27"/>
      <c r="Z15" s="27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</row>
    <row r="16" spans="1:65" s="35" customFormat="1" ht="31.5">
      <c r="A16" s="29" t="s">
        <v>23</v>
      </c>
      <c r="B16" s="30" t="s">
        <v>24</v>
      </c>
      <c r="C16" s="31" t="e">
        <f>'Додаток1 скор'!F22</f>
        <v>#REF!</v>
      </c>
      <c r="D16" s="31" t="e">
        <f>'Додаток1 скор'!G22</f>
        <v>#REF!</v>
      </c>
      <c r="E16" s="32" t="e">
        <f>'Додаток1 скор'!K22</f>
        <v>#REF!</v>
      </c>
      <c r="F16" s="32" t="e">
        <f>'Додаток1 скор'!L22</f>
        <v>#REF!</v>
      </c>
      <c r="G16" s="32">
        <v>587.96</v>
      </c>
      <c r="H16" s="25">
        <v>5.8</v>
      </c>
      <c r="I16" s="32">
        <f>T16/V44*I45</f>
        <v>647.8571332749606</v>
      </c>
      <c r="J16" s="25">
        <f>I16/I45*1000</f>
        <v>13.523963627189616</v>
      </c>
      <c r="K16" s="32">
        <v>266.44</v>
      </c>
      <c r="L16" s="25">
        <v>5.8</v>
      </c>
      <c r="M16" s="32">
        <f>T16/V44*M45</f>
        <v>169.9690801987737</v>
      </c>
      <c r="N16" s="25">
        <f>M16/M45*1000</f>
        <v>13.523963627189614</v>
      </c>
      <c r="O16" s="32">
        <v>17.33</v>
      </c>
      <c r="P16" s="25">
        <v>5.8</v>
      </c>
      <c r="Q16" s="32">
        <f>T16-M16-I16</f>
        <v>10.54383652626575</v>
      </c>
      <c r="R16" s="25">
        <f>Q16/Q45*1000</f>
        <v>13.52396362718963</v>
      </c>
      <c r="S16" s="33"/>
      <c r="T16" s="32">
        <f>164.40984+659.31927+4.64094</f>
        <v>828.37005</v>
      </c>
      <c r="U16" s="27"/>
      <c r="V16" s="27"/>
      <c r="W16" s="27"/>
      <c r="X16" s="27"/>
      <c r="Y16" s="27"/>
      <c r="Z16" s="27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</row>
    <row r="17" spans="1:26" s="28" customFormat="1" ht="15.75">
      <c r="A17" s="11" t="s">
        <v>25</v>
      </c>
      <c r="B17" s="23" t="s">
        <v>91</v>
      </c>
      <c r="C17" s="24" t="e">
        <f>'Додаток1 скор'!F23</f>
        <v>#REF!</v>
      </c>
      <c r="D17" s="24" t="e">
        <f>'Додаток1 скор'!G23</f>
        <v>#REF!</v>
      </c>
      <c r="E17" s="25" t="e">
        <f>'Додаток1 скор'!K23</f>
        <v>#REF!</v>
      </c>
      <c r="F17" s="25" t="e">
        <f>'Додаток1 скор'!L23</f>
        <v>#REF!</v>
      </c>
      <c r="G17" s="25">
        <v>20899.93</v>
      </c>
      <c r="H17" s="25">
        <v>215.97</v>
      </c>
      <c r="I17" s="25">
        <f>T17/V44*I45</f>
        <v>9724.536034508788</v>
      </c>
      <c r="J17" s="25">
        <f>I17/I45*1000</f>
        <v>202.99887871447564</v>
      </c>
      <c r="K17" s="25">
        <v>9471.13</v>
      </c>
      <c r="L17" s="25">
        <v>215.96</v>
      </c>
      <c r="M17" s="25">
        <f>T17/V44*M45</f>
        <v>2551.2884866913787</v>
      </c>
      <c r="N17" s="25">
        <f>M17/M45*1000</f>
        <v>202.9988787144756</v>
      </c>
      <c r="O17" s="25">
        <v>616.03</v>
      </c>
      <c r="P17" s="25">
        <v>216.08</v>
      </c>
      <c r="Q17" s="32">
        <f>T17-M17-I17</f>
        <v>158.2662487998332</v>
      </c>
      <c r="R17" s="25">
        <f>Q17/Q45*1000</f>
        <v>202.99887871447652</v>
      </c>
      <c r="S17" s="26"/>
      <c r="T17" s="25">
        <f>6348.42+5135.404+950.26677</f>
        <v>12434.09077</v>
      </c>
      <c r="U17" s="27"/>
      <c r="V17" s="27"/>
      <c r="W17" s="27"/>
      <c r="X17" s="27"/>
      <c r="Y17" s="27"/>
      <c r="Z17" s="27"/>
    </row>
    <row r="18" spans="1:26" s="28" customFormat="1" ht="15.75">
      <c r="A18" s="11" t="s">
        <v>26</v>
      </c>
      <c r="B18" s="23" t="s">
        <v>27</v>
      </c>
      <c r="C18" s="24" t="e">
        <f>'Додаток1 скор'!F24</f>
        <v>#REF!</v>
      </c>
      <c r="D18" s="24" t="e">
        <f>'Додаток1 скор'!G24</f>
        <v>#REF!</v>
      </c>
      <c r="E18" s="25" t="e">
        <f>'Додаток1 скор'!H24</f>
        <v>#REF!</v>
      </c>
      <c r="F18" s="25" t="e">
        <f>'Додаток1 скор'!L24</f>
        <v>#REF!</v>
      </c>
      <c r="G18" s="25">
        <v>44127.42</v>
      </c>
      <c r="H18" s="25">
        <v>453.99</v>
      </c>
      <c r="I18" s="25">
        <f>I20+I21+I19</f>
        <v>15999.270355911656</v>
      </c>
      <c r="J18" s="25">
        <f>I18/I45*1000</f>
        <v>333.98343437408755</v>
      </c>
      <c r="K18" s="25">
        <v>19997.13</v>
      </c>
      <c r="L18" s="25">
        <v>453.98</v>
      </c>
      <c r="M18" s="25">
        <f>M20+M21+M19</f>
        <v>4197.501465329492</v>
      </c>
      <c r="N18" s="25">
        <f>M18/M45*1000</f>
        <v>333.98343437408755</v>
      </c>
      <c r="O18" s="25">
        <v>1300.57</v>
      </c>
      <c r="P18" s="25">
        <v>454.22</v>
      </c>
      <c r="Q18" s="25">
        <f>Q20+Q21+Q19</f>
        <v>260.3871787588489</v>
      </c>
      <c r="R18" s="25">
        <f>Q18/Q45*1000</f>
        <v>333.98343437408874</v>
      </c>
      <c r="S18" s="26"/>
      <c r="T18" s="25">
        <f>T20+T21+T19</f>
        <v>20457.158999999996</v>
      </c>
      <c r="U18" s="27"/>
      <c r="V18" s="27"/>
      <c r="W18" s="27"/>
      <c r="X18" s="27"/>
      <c r="Y18" s="27"/>
      <c r="Z18" s="27"/>
    </row>
    <row r="19" spans="1:26" s="28" customFormat="1" ht="15.75">
      <c r="A19" s="236" t="s">
        <v>208</v>
      </c>
      <c r="B19" s="30" t="s">
        <v>209</v>
      </c>
      <c r="C19" s="24"/>
      <c r="D19" s="24"/>
      <c r="E19" s="25"/>
      <c r="F19" s="25"/>
      <c r="G19" s="32">
        <v>4597.98</v>
      </c>
      <c r="H19" s="32">
        <v>47.51</v>
      </c>
      <c r="I19" s="32">
        <f>T19/V44*I45</f>
        <v>2123.055469493062</v>
      </c>
      <c r="J19" s="32">
        <f>I19/I45*1000</f>
        <v>44.31860586729741</v>
      </c>
      <c r="K19" s="32">
        <v>2083.63</v>
      </c>
      <c r="L19" s="32">
        <v>47.51</v>
      </c>
      <c r="M19" s="32">
        <f>T19/V44*M45</f>
        <v>556.9959283099527</v>
      </c>
      <c r="N19" s="32">
        <f>M19/M45*1000</f>
        <v>44.3186058672974</v>
      </c>
      <c r="O19" s="32">
        <v>135.51</v>
      </c>
      <c r="P19" s="32">
        <v>47.53</v>
      </c>
      <c r="Q19" s="32">
        <f>T19/V44*Q45</f>
        <v>34.55260219698561</v>
      </c>
      <c r="R19" s="32">
        <f>Q19/Q45*1000</f>
        <v>44.3186058672974</v>
      </c>
      <c r="S19" s="26"/>
      <c r="T19" s="25">
        <f>1386.017+1115.114+213.473</f>
        <v>2714.6040000000003</v>
      </c>
      <c r="U19" s="27"/>
      <c r="V19" s="27"/>
      <c r="W19" s="27"/>
      <c r="X19" s="27"/>
      <c r="Y19" s="27"/>
      <c r="Z19" s="27"/>
    </row>
    <row r="20" spans="1:65" s="35" customFormat="1" ht="15.75">
      <c r="A20" s="29" t="s">
        <v>30</v>
      </c>
      <c r="B20" s="30" t="s">
        <v>29</v>
      </c>
      <c r="C20" s="31" t="e">
        <f>'Додаток1 скор'!F26</f>
        <v>#REF!</v>
      </c>
      <c r="D20" s="31" t="e">
        <f>'Додаток1 скор'!G26</f>
        <v>#REF!</v>
      </c>
      <c r="E20" s="32" t="e">
        <f>'Додаток1 скор'!H26</f>
        <v>#REF!</v>
      </c>
      <c r="F20" s="32" t="e">
        <f>'Додаток1 скор'!L26</f>
        <v>#REF!</v>
      </c>
      <c r="G20" s="32">
        <v>3944.37</v>
      </c>
      <c r="H20" s="25">
        <v>39.75</v>
      </c>
      <c r="I20" s="32">
        <f>T20/$V$44*$I$45</f>
        <v>2531.657406678787</v>
      </c>
      <c r="J20" s="25">
        <f>I20/I45*1000</f>
        <v>52.84813722950543</v>
      </c>
      <c r="K20" s="32">
        <v>1787.56</v>
      </c>
      <c r="L20" s="25">
        <v>39.75</v>
      </c>
      <c r="M20" s="32">
        <f>T20/V44*M45</f>
        <v>664.1950187634636</v>
      </c>
      <c r="N20" s="25">
        <f>M20/M45*1000</f>
        <v>52.848137229505426</v>
      </c>
      <c r="O20" s="32">
        <v>116.17</v>
      </c>
      <c r="P20" s="25">
        <v>39.76</v>
      </c>
      <c r="Q20" s="32">
        <f>T20-M20-I20</f>
        <v>41.20257455774845</v>
      </c>
      <c r="R20" s="25">
        <f>Q20/Q45*1000</f>
        <v>52.84813722950493</v>
      </c>
      <c r="S20" s="33"/>
      <c r="T20" s="32">
        <f>2080.528+1154.778+1.749</f>
        <v>3237.0549999999994</v>
      </c>
      <c r="U20" s="27"/>
      <c r="V20" s="27"/>
      <c r="W20" s="27"/>
      <c r="X20" s="27"/>
      <c r="Y20" s="27"/>
      <c r="Z20" s="27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</row>
    <row r="21" spans="1:65" s="35" customFormat="1" ht="15.75">
      <c r="A21" s="29" t="s">
        <v>92</v>
      </c>
      <c r="B21" s="30" t="s">
        <v>31</v>
      </c>
      <c r="C21" s="31" t="e">
        <f>'Додаток1 скор'!F27</f>
        <v>#REF!</v>
      </c>
      <c r="D21" s="31" t="e">
        <f>'Додаток1 скор'!G27</f>
        <v>#REF!</v>
      </c>
      <c r="E21" s="32" t="e">
        <f>'Додаток1 скор'!H27</f>
        <v>#REF!</v>
      </c>
      <c r="F21" s="32" t="e">
        <f>'Додаток1 скор'!L27</f>
        <v>#REF!</v>
      </c>
      <c r="G21" s="32">
        <v>35585.06</v>
      </c>
      <c r="H21" s="25">
        <v>366.72</v>
      </c>
      <c r="I21" s="32">
        <f>T21/V44*I45</f>
        <v>11344.557479739808</v>
      </c>
      <c r="J21" s="25">
        <f>I21/I45*1000</f>
        <v>236.81669127728475</v>
      </c>
      <c r="K21" s="32">
        <v>16125.94</v>
      </c>
      <c r="L21" s="25">
        <v>366.72</v>
      </c>
      <c r="M21" s="32">
        <f>T21/V44*M45</f>
        <v>2976.3105182560757</v>
      </c>
      <c r="N21" s="25">
        <f>M21/M45*1000</f>
        <v>236.81669127728475</v>
      </c>
      <c r="O21" s="32">
        <v>1048.88</v>
      </c>
      <c r="P21" s="25">
        <v>366.93</v>
      </c>
      <c r="Q21" s="32">
        <f>T21-M21-I21</f>
        <v>184.63200200411484</v>
      </c>
      <c r="R21" s="25">
        <f>Q21/Q45*1000</f>
        <v>236.81669127728642</v>
      </c>
      <c r="S21" s="33"/>
      <c r="T21" s="32">
        <f>13846.142+17.919+870.639-229.2</f>
        <v>14505.499999999998</v>
      </c>
      <c r="U21" s="27"/>
      <c r="V21" s="27"/>
      <c r="W21" s="27"/>
      <c r="X21" s="27"/>
      <c r="Y21" s="27"/>
      <c r="Z21" s="27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</row>
    <row r="22" spans="1:26" s="28" customFormat="1" ht="15.75">
      <c r="A22" s="11" t="s">
        <v>32</v>
      </c>
      <c r="B22" s="23" t="s">
        <v>33</v>
      </c>
      <c r="C22" s="24" t="e">
        <f>'Додаток1 скор'!F28</f>
        <v>#REF!</v>
      </c>
      <c r="D22" s="24" t="e">
        <f>'Додаток1 скор'!G28</f>
        <v>#REF!</v>
      </c>
      <c r="E22" s="25" t="e">
        <f>'Додаток1 скор'!H28</f>
        <v>#REF!</v>
      </c>
      <c r="F22" s="25" t="e">
        <f>'Додаток1 скор'!L28</f>
        <v>#REF!</v>
      </c>
      <c r="G22" s="25">
        <v>2069.04</v>
      </c>
      <c r="H22" s="25">
        <v>19.99</v>
      </c>
      <c r="I22" s="25">
        <f>I23+I25+I24</f>
        <v>1243.308128046722</v>
      </c>
      <c r="J22" s="25">
        <f>I22/I45*1000</f>
        <v>25.95395348368691</v>
      </c>
      <c r="K22" s="25">
        <v>937.62</v>
      </c>
      <c r="L22" s="25">
        <v>19.99</v>
      </c>
      <c r="M22" s="25">
        <f>M23+M25+M24</f>
        <v>326.1891057053027</v>
      </c>
      <c r="N22" s="25">
        <f>M22/M45*1000</f>
        <v>25.953953483686913</v>
      </c>
      <c r="O22" s="25">
        <v>60.99</v>
      </c>
      <c r="P22" s="25">
        <v>20.01</v>
      </c>
      <c r="Q22" s="25">
        <f>Q23+Q25+Q24</f>
        <v>20.23476624797528</v>
      </c>
      <c r="R22" s="25">
        <f>Q22/Q45*1000</f>
        <v>25.953953483687084</v>
      </c>
      <c r="S22" s="26"/>
      <c r="T22" s="26">
        <v>1589.732</v>
      </c>
      <c r="U22" s="27"/>
      <c r="V22" s="27"/>
      <c r="W22" s="27"/>
      <c r="X22" s="27"/>
      <c r="Y22" s="27"/>
      <c r="Z22" s="27"/>
    </row>
    <row r="23" spans="1:65" s="35" customFormat="1" ht="15.75">
      <c r="A23" s="29" t="s">
        <v>34</v>
      </c>
      <c r="B23" s="30" t="s">
        <v>42</v>
      </c>
      <c r="C23" s="31" t="e">
        <f>'Додаток1 скор'!F29</f>
        <v>#REF!</v>
      </c>
      <c r="D23" s="31" t="e">
        <f>'Додаток1 скор'!G29</f>
        <v>#REF!</v>
      </c>
      <c r="E23" s="32" t="e">
        <f>'Додаток1 скор'!H29</f>
        <v>#REF!</v>
      </c>
      <c r="F23" s="32" t="e">
        <f>'Додаток1 скор'!L29</f>
        <v>#REF!</v>
      </c>
      <c r="G23" s="32">
        <v>631.13</v>
      </c>
      <c r="H23" s="25">
        <v>6.1</v>
      </c>
      <c r="I23" s="32">
        <f>T23/$V$44*$I$45</f>
        <v>484.48467366700754</v>
      </c>
      <c r="J23" s="25">
        <f>I23/I45*1000</f>
        <v>10.11357715779384</v>
      </c>
      <c r="K23" s="32">
        <v>286.01</v>
      </c>
      <c r="L23" s="25">
        <v>6.1</v>
      </c>
      <c r="M23" s="32">
        <f>T23/V44*M45</f>
        <v>127.10736692411287</v>
      </c>
      <c r="N23" s="25">
        <f>M23/M45*1000</f>
        <v>10.11357715779384</v>
      </c>
      <c r="O23" s="32">
        <v>18.61</v>
      </c>
      <c r="P23" s="25">
        <v>6.1</v>
      </c>
      <c r="Q23" s="32">
        <f>T23-M23-I23</f>
        <v>7.884959408879581</v>
      </c>
      <c r="R23" s="25">
        <f>Q23/Q45*1000</f>
        <v>10.113577157793884</v>
      </c>
      <c r="S23" s="33"/>
      <c r="T23" s="33">
        <v>619.477</v>
      </c>
      <c r="U23" s="27"/>
      <c r="V23" s="27"/>
      <c r="W23" s="27"/>
      <c r="X23" s="27"/>
      <c r="Y23" s="27"/>
      <c r="Z23" s="27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</row>
    <row r="24" spans="1:65" s="35" customFormat="1" ht="15.75">
      <c r="A24" s="29" t="s">
        <v>35</v>
      </c>
      <c r="B24" s="30" t="s">
        <v>209</v>
      </c>
      <c r="C24" s="31"/>
      <c r="D24" s="31"/>
      <c r="E24" s="32"/>
      <c r="F24" s="32"/>
      <c r="G24" s="32">
        <v>138.85</v>
      </c>
      <c r="H24" s="32">
        <v>1.34</v>
      </c>
      <c r="I24" s="32">
        <f>T24/V44*I45</f>
        <v>102.9460619115612</v>
      </c>
      <c r="J24" s="32">
        <f>I24/I45</f>
        <v>0.0021489904569183408</v>
      </c>
      <c r="K24" s="32">
        <v>62.92</v>
      </c>
      <c r="L24" s="32">
        <v>1.34</v>
      </c>
      <c r="M24" s="32">
        <f>T24/V44*M45</f>
        <v>27.00849701961651</v>
      </c>
      <c r="N24" s="32">
        <f>M24/M45*1000</f>
        <v>2.148990456918341</v>
      </c>
      <c r="O24" s="32">
        <v>4.09</v>
      </c>
      <c r="P24" s="32">
        <v>1.34</v>
      </c>
      <c r="Q24" s="32">
        <f>T24/V44*Q45</f>
        <v>1.675441068822272</v>
      </c>
      <c r="R24" s="32">
        <f>Q24/Q45*1000</f>
        <v>2.148990456918341</v>
      </c>
      <c r="S24" s="33"/>
      <c r="T24" s="33">
        <v>131.63</v>
      </c>
      <c r="U24" s="27"/>
      <c r="V24" s="27"/>
      <c r="W24" s="27"/>
      <c r="X24" s="27"/>
      <c r="Y24" s="27"/>
      <c r="Z24" s="27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</row>
    <row r="25" spans="1:65" s="35" customFormat="1" ht="15.75">
      <c r="A25" s="29" t="s">
        <v>93</v>
      </c>
      <c r="B25" s="30" t="s">
        <v>36</v>
      </c>
      <c r="C25" s="31" t="e">
        <f>'Додаток1 скор'!F31</f>
        <v>#REF!</v>
      </c>
      <c r="D25" s="31" t="e">
        <f>'Додаток1 скор'!G31</f>
        <v>#REF!</v>
      </c>
      <c r="E25" s="32" t="e">
        <f>'Додаток1 скор'!H31</f>
        <v>#REF!</v>
      </c>
      <c r="F25" s="32" t="e">
        <f>'Додаток1 скор'!L31</f>
        <v>#REF!</v>
      </c>
      <c r="G25" s="32">
        <v>1299.07</v>
      </c>
      <c r="H25" s="25">
        <v>12.53</v>
      </c>
      <c r="I25" s="32">
        <f>T25/V44*I45</f>
        <v>655.8773924681533</v>
      </c>
      <c r="J25" s="25">
        <f>I25/I45*1000</f>
        <v>13.691385868974729</v>
      </c>
      <c r="K25" s="32">
        <v>588.68</v>
      </c>
      <c r="L25" s="25">
        <v>12.53</v>
      </c>
      <c r="M25" s="32">
        <f>T25/V44*M45</f>
        <v>172.0732417615733</v>
      </c>
      <c r="N25" s="25">
        <f>M25/M45*1000</f>
        <v>13.691385868974729</v>
      </c>
      <c r="O25" s="32">
        <v>38.28</v>
      </c>
      <c r="P25" s="25">
        <v>12.55</v>
      </c>
      <c r="Q25" s="32">
        <f>T25-M25-I25</f>
        <v>10.674365770273425</v>
      </c>
      <c r="R25" s="25">
        <f>Q25/Q45*1000</f>
        <v>13.691385868974855</v>
      </c>
      <c r="S25" s="33"/>
      <c r="T25" s="33">
        <f>T22-T23-T24</f>
        <v>838.625</v>
      </c>
      <c r="U25" s="27"/>
      <c r="V25" s="27"/>
      <c r="W25" s="27"/>
      <c r="X25" s="27"/>
      <c r="Y25" s="27"/>
      <c r="Z25" s="27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</row>
    <row r="26" spans="1:26" s="28" customFormat="1" ht="15.75">
      <c r="A26" s="11" t="s">
        <v>37</v>
      </c>
      <c r="B26" s="23" t="s">
        <v>38</v>
      </c>
      <c r="C26" s="24" t="e">
        <f>'Додаток1 скор'!F32</f>
        <v>#REF!</v>
      </c>
      <c r="D26" s="24" t="e">
        <f>'Додаток1 скор'!G32</f>
        <v>#REF!</v>
      </c>
      <c r="E26" s="25" t="e">
        <f>'Додаток1 скор'!H32</f>
        <v>#REF!</v>
      </c>
      <c r="F26" s="25" t="e">
        <f>'Додаток1 скор'!L32</f>
        <v>#REF!</v>
      </c>
      <c r="G26" s="25">
        <v>6212.13</v>
      </c>
      <c r="H26" s="25">
        <v>60.02</v>
      </c>
      <c r="I26" s="25">
        <f>I27+I29+I28</f>
        <v>2854.0593206800677</v>
      </c>
      <c r="J26" s="25">
        <f>I26/I45*1000</f>
        <v>59.57825029663919</v>
      </c>
      <c r="K26" s="25">
        <v>2815.13</v>
      </c>
      <c r="L26" s="25">
        <v>60.02</v>
      </c>
      <c r="M26" s="25">
        <f>M27+M29+M28</f>
        <v>748.7790326804095</v>
      </c>
      <c r="N26" s="25">
        <f>M26/M45*1000</f>
        <v>59.578250296639204</v>
      </c>
      <c r="O26" s="25">
        <v>183.16</v>
      </c>
      <c r="P26" s="25">
        <v>60.08</v>
      </c>
      <c r="Q26" s="25">
        <f>Q27+Q29+Q28</f>
        <v>46.44964663952266</v>
      </c>
      <c r="R26" s="25">
        <f>Q26/Q45*1000</f>
        <v>59.57825029663995</v>
      </c>
      <c r="S26" s="26"/>
      <c r="T26" s="26">
        <v>3649.288</v>
      </c>
      <c r="U26" s="27"/>
      <c r="V26" s="27"/>
      <c r="W26" s="27"/>
      <c r="X26" s="27"/>
      <c r="Y26" s="27"/>
      <c r="Z26" s="27"/>
    </row>
    <row r="27" spans="1:65" s="35" customFormat="1" ht="15.75">
      <c r="A27" s="29" t="s">
        <v>39</v>
      </c>
      <c r="B27" s="30" t="s">
        <v>42</v>
      </c>
      <c r="C27" s="31" t="e">
        <f>'Додаток1 скор'!F33</f>
        <v>#REF!</v>
      </c>
      <c r="D27" s="31" t="e">
        <f>'Додаток1 скор'!G33</f>
        <v>#REF!</v>
      </c>
      <c r="E27" s="32" t="e">
        <f>'Додаток1 скор'!H33</f>
        <v>#REF!</v>
      </c>
      <c r="F27" s="32" t="e">
        <f>'Додаток1 скор'!L33</f>
        <v>#REF!</v>
      </c>
      <c r="G27" s="32">
        <v>4324.36</v>
      </c>
      <c r="H27" s="25">
        <v>41.78</v>
      </c>
      <c r="I27" s="32">
        <f>T27/V44*I45</f>
        <v>1965.0692795477082</v>
      </c>
      <c r="J27" s="25">
        <f>I27/I45*1000</f>
        <v>41.0206573279048</v>
      </c>
      <c r="K27" s="32">
        <v>1959.66</v>
      </c>
      <c r="L27" s="25">
        <v>41.78</v>
      </c>
      <c r="M27" s="32">
        <f>T27/V44*M45</f>
        <v>515.5473341525063</v>
      </c>
      <c r="N27" s="25">
        <f>M27/M45*1000</f>
        <v>41.02065732790481</v>
      </c>
      <c r="O27" s="32">
        <v>127.48</v>
      </c>
      <c r="P27" s="25">
        <v>41.82</v>
      </c>
      <c r="Q27" s="32">
        <f>T27-M27-I27</f>
        <v>31.981386299785527</v>
      </c>
      <c r="R27" s="25">
        <f>Q27/Q45*1000</f>
        <v>41.02065732790544</v>
      </c>
      <c r="S27" s="33"/>
      <c r="T27" s="33">
        <v>2512.598</v>
      </c>
      <c r="U27" s="27"/>
      <c r="V27" s="27"/>
      <c r="W27" s="27"/>
      <c r="X27" s="27"/>
      <c r="Y27" s="27"/>
      <c r="Z27" s="27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</row>
    <row r="28" spans="1:65" s="35" customFormat="1" ht="15.75">
      <c r="A28" s="29" t="s">
        <v>210</v>
      </c>
      <c r="B28" s="30" t="s">
        <v>209</v>
      </c>
      <c r="C28" s="31"/>
      <c r="D28" s="31"/>
      <c r="E28" s="32"/>
      <c r="F28" s="32"/>
      <c r="G28" s="32">
        <v>951.36</v>
      </c>
      <c r="H28" s="25">
        <v>9.19</v>
      </c>
      <c r="I28" s="32">
        <f>T28/V44*I45</f>
        <v>432.28586632701416</v>
      </c>
      <c r="J28" s="25">
        <f>I28/I45*1000</f>
        <v>9.023931407842454</v>
      </c>
      <c r="K28" s="32">
        <v>431.13</v>
      </c>
      <c r="L28" s="25">
        <v>9.19</v>
      </c>
      <c r="M28" s="32">
        <f>T28/V44*M45</f>
        <v>113.41270676624413</v>
      </c>
      <c r="N28" s="25">
        <f>M28/M45*1000</f>
        <v>9.023931407842454</v>
      </c>
      <c r="O28" s="32">
        <v>28.05</v>
      </c>
      <c r="P28" s="25">
        <v>9.2</v>
      </c>
      <c r="Q28" s="32">
        <f>T28/V44*Q45</f>
        <v>7.035426906741699</v>
      </c>
      <c r="R28" s="25">
        <f>Q28/Q45*1000</f>
        <v>9.023931407842454</v>
      </c>
      <c r="S28" s="33"/>
      <c r="T28" s="33">
        <v>552.734</v>
      </c>
      <c r="U28" s="27"/>
      <c r="V28" s="27"/>
      <c r="W28" s="27"/>
      <c r="X28" s="27"/>
      <c r="Y28" s="27"/>
      <c r="Z28" s="27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</row>
    <row r="29" spans="1:65" s="35" customFormat="1" ht="15.75">
      <c r="A29" s="29" t="s">
        <v>94</v>
      </c>
      <c r="B29" s="30" t="s">
        <v>36</v>
      </c>
      <c r="C29" s="31" t="e">
        <f>'Додаток1 скор'!F35</f>
        <v>#REF!</v>
      </c>
      <c r="D29" s="31" t="e">
        <f>'Додаток1 скор'!G35</f>
        <v>#REF!</v>
      </c>
      <c r="E29" s="32" t="e">
        <f>'Додаток1 скор'!H35</f>
        <v>#REF!</v>
      </c>
      <c r="F29" s="32" t="e">
        <f>'Додаток1 скор'!L35</f>
        <v>#REF!</v>
      </c>
      <c r="G29" s="32">
        <v>936.43</v>
      </c>
      <c r="H29" s="25">
        <v>9.05</v>
      </c>
      <c r="I29" s="32">
        <f>T29/V44*I45</f>
        <v>456.70417480534553</v>
      </c>
      <c r="J29" s="25">
        <f>I29/I45*1000</f>
        <v>9.533661560891945</v>
      </c>
      <c r="K29" s="32">
        <v>424.33</v>
      </c>
      <c r="L29" s="25">
        <v>9.04</v>
      </c>
      <c r="M29" s="32">
        <f>T29/V44*M45</f>
        <v>119.81899176165903</v>
      </c>
      <c r="N29" s="25">
        <f>M29/M45*1000</f>
        <v>9.533661560891945</v>
      </c>
      <c r="O29" s="32">
        <v>27.6</v>
      </c>
      <c r="P29" s="25">
        <v>9.06</v>
      </c>
      <c r="Q29" s="32">
        <f>T29-M29-I29</f>
        <v>7.432833432995437</v>
      </c>
      <c r="R29" s="25">
        <f>Q29/Q45*1000</f>
        <v>9.533661560892048</v>
      </c>
      <c r="S29" s="33"/>
      <c r="T29" s="33">
        <f>T26-T27-T28</f>
        <v>583.956</v>
      </c>
      <c r="U29" s="27"/>
      <c r="V29" s="27"/>
      <c r="W29" s="27"/>
      <c r="X29" s="27"/>
      <c r="Y29" s="27"/>
      <c r="Z29" s="27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</row>
    <row r="30" spans="1:65" ht="15.75" hidden="1">
      <c r="A30" s="29" t="s">
        <v>41</v>
      </c>
      <c r="B30" s="30" t="s">
        <v>42</v>
      </c>
      <c r="C30" s="24">
        <f>'Додаток1 скор'!F37</f>
        <v>0</v>
      </c>
      <c r="D30" s="24" t="e">
        <f>'Додаток1 скор'!G37</f>
        <v>#REF!</v>
      </c>
      <c r="E30" s="32">
        <f>'Додаток1 скор'!H37</f>
        <v>0</v>
      </c>
      <c r="F30" s="32" t="e">
        <f>'Додаток1 скор'!L37</f>
        <v>#REF!</v>
      </c>
      <c r="G30" s="25"/>
      <c r="H30" s="25" t="e">
        <f>G30/G63*1000</f>
        <v>#DIV/0!</v>
      </c>
      <c r="I30" s="25"/>
      <c r="J30" s="25" t="e">
        <f>I30/I63*1000</f>
        <v>#DIV/0!</v>
      </c>
      <c r="K30" s="25"/>
      <c r="L30" s="25" t="e">
        <f>K30/K63*1000</f>
        <v>#DIV/0!</v>
      </c>
      <c r="M30" s="25"/>
      <c r="N30" s="25" t="e">
        <f>M30/M63*1000</f>
        <v>#DIV/0!</v>
      </c>
      <c r="O30" s="25"/>
      <c r="P30" s="25" t="e">
        <f>O30/O63*1000</f>
        <v>#DIV/0!</v>
      </c>
      <c r="Q30" s="25"/>
      <c r="R30" s="25" t="e">
        <f>Q30/Q63*1000</f>
        <v>#DIV/0!</v>
      </c>
      <c r="S30" s="33"/>
      <c r="T30" s="33"/>
      <c r="U30" s="27"/>
      <c r="V30" s="27"/>
      <c r="W30" s="27"/>
      <c r="X30" s="27"/>
      <c r="Y30" s="27"/>
      <c r="Z30" s="27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1" spans="1:65" ht="15.75" hidden="1">
      <c r="A31" s="29" t="s">
        <v>43</v>
      </c>
      <c r="B31" s="30" t="s">
        <v>44</v>
      </c>
      <c r="C31" s="24">
        <f>'Додаток1 скор'!F38</f>
        <v>0</v>
      </c>
      <c r="D31" s="24" t="e">
        <f>'Додаток1 скор'!G38</f>
        <v>#REF!</v>
      </c>
      <c r="E31" s="32">
        <f>'Додаток1 скор'!H38</f>
        <v>0</v>
      </c>
      <c r="F31" s="32" t="e">
        <f>'Додаток1 скор'!L38</f>
        <v>#REF!</v>
      </c>
      <c r="G31" s="25"/>
      <c r="H31" s="25" t="e">
        <f>G31/G64*1000</f>
        <v>#DIV/0!</v>
      </c>
      <c r="I31" s="25"/>
      <c r="J31" s="25" t="e">
        <f>I31/I64*1000</f>
        <v>#DIV/0!</v>
      </c>
      <c r="K31" s="25"/>
      <c r="L31" s="25" t="e">
        <f>K31/K64*1000</f>
        <v>#DIV/0!</v>
      </c>
      <c r="M31" s="25"/>
      <c r="N31" s="25" t="e">
        <f>M31/M64*1000</f>
        <v>#DIV/0!</v>
      </c>
      <c r="O31" s="25"/>
      <c r="P31" s="25" t="e">
        <f>O31/O64*1000</f>
        <v>#DIV/0!</v>
      </c>
      <c r="Q31" s="25"/>
      <c r="R31" s="25" t="e">
        <f>Q31/Q64*1000</f>
        <v>#DIV/0!</v>
      </c>
      <c r="S31" s="33"/>
      <c r="T31" s="33"/>
      <c r="U31" s="27"/>
      <c r="V31" s="27"/>
      <c r="W31" s="27"/>
      <c r="X31" s="27"/>
      <c r="Y31" s="27"/>
      <c r="Z31" s="27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</row>
    <row r="32" spans="1:65" ht="15.75" hidden="1">
      <c r="A32" s="29" t="s">
        <v>45</v>
      </c>
      <c r="B32" s="30" t="s">
        <v>36</v>
      </c>
      <c r="C32" s="24">
        <f>'Додаток1 скор'!F39</f>
        <v>0</v>
      </c>
      <c r="D32" s="24" t="e">
        <f>'Додаток1 скор'!G39</f>
        <v>#REF!</v>
      </c>
      <c r="E32" s="32">
        <f>'Додаток1 скор'!H39</f>
        <v>0</v>
      </c>
      <c r="F32" s="32" t="e">
        <f>'Додаток1 скор'!L39</f>
        <v>#REF!</v>
      </c>
      <c r="G32" s="25"/>
      <c r="H32" s="25" t="e">
        <f>G32/G65*1000</f>
        <v>#DIV/0!</v>
      </c>
      <c r="I32" s="25"/>
      <c r="J32" s="25" t="e">
        <f>I32/I65*1000</f>
        <v>#DIV/0!</v>
      </c>
      <c r="K32" s="25"/>
      <c r="L32" s="25" t="e">
        <f>K32/K65*1000</f>
        <v>#DIV/0!</v>
      </c>
      <c r="M32" s="25"/>
      <c r="N32" s="25" t="e">
        <f>M32/M65*1000</f>
        <v>#DIV/0!</v>
      </c>
      <c r="O32" s="25"/>
      <c r="P32" s="25" t="e">
        <f>O32/O65*1000</f>
        <v>#DIV/0!</v>
      </c>
      <c r="Q32" s="25"/>
      <c r="R32" s="25" t="e">
        <f>Q32/Q65*1000</f>
        <v>#DIV/0!</v>
      </c>
      <c r="S32" s="33"/>
      <c r="T32" s="33"/>
      <c r="U32" s="27"/>
      <c r="V32" s="27"/>
      <c r="W32" s="27"/>
      <c r="X32" s="27"/>
      <c r="Y32" s="27"/>
      <c r="Z32" s="27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</row>
    <row r="33" spans="1:26" s="28" customFormat="1" ht="15.75">
      <c r="A33" s="11">
        <v>3</v>
      </c>
      <c r="B33" s="23" t="s">
        <v>46</v>
      </c>
      <c r="C33" s="24" t="e">
        <f>'Додаток1 скор'!F40</f>
        <v>#REF!</v>
      </c>
      <c r="D33" s="24" t="e">
        <f>'Додаток1 скор'!G40</f>
        <v>#REF!</v>
      </c>
      <c r="E33" s="25" t="e">
        <f>'Додаток1 скор'!H40</f>
        <v>#REF!</v>
      </c>
      <c r="F33" s="25" t="e">
        <f>'Додаток1 скор'!L40</f>
        <v>#REF!</v>
      </c>
      <c r="G33" s="25">
        <v>0</v>
      </c>
      <c r="H33" s="25">
        <f>G33/G45*1000</f>
        <v>0</v>
      </c>
      <c r="I33" s="25">
        <v>0</v>
      </c>
      <c r="J33" s="25">
        <f>I33/I45*1000</f>
        <v>0</v>
      </c>
      <c r="K33" s="25">
        <v>0</v>
      </c>
      <c r="L33" s="25">
        <f>K33/K45*1000</f>
        <v>0</v>
      </c>
      <c r="M33" s="25">
        <v>0</v>
      </c>
      <c r="N33" s="25">
        <f>M33/M45*1000</f>
        <v>0</v>
      </c>
      <c r="O33" s="25">
        <v>0</v>
      </c>
      <c r="P33" s="25">
        <f>O33/O45*1000</f>
        <v>0</v>
      </c>
      <c r="Q33" s="25">
        <v>0</v>
      </c>
      <c r="R33" s="25">
        <f>Q33/Q45*1000</f>
        <v>0</v>
      </c>
      <c r="S33" s="26"/>
      <c r="T33" s="26"/>
      <c r="U33" s="27"/>
      <c r="V33" s="27"/>
      <c r="W33" s="27"/>
      <c r="X33" s="27"/>
      <c r="Y33" s="27"/>
      <c r="Z33" s="27"/>
    </row>
    <row r="34" spans="1:26" s="28" customFormat="1" ht="15.75">
      <c r="A34" s="11">
        <v>4</v>
      </c>
      <c r="B34" s="23" t="s">
        <v>47</v>
      </c>
      <c r="C34" s="24" t="e">
        <f>'Додаток1 скор'!F41</f>
        <v>#REF!</v>
      </c>
      <c r="D34" s="24" t="e">
        <f>'Додаток1 скор'!G41</f>
        <v>#REF!</v>
      </c>
      <c r="E34" s="25" t="e">
        <f>'Додаток1 скор'!H41</f>
        <v>#REF!</v>
      </c>
      <c r="F34" s="25" t="e">
        <f>'Додаток1 скор'!L41</f>
        <v>#REF!</v>
      </c>
      <c r="G34" s="25">
        <v>0</v>
      </c>
      <c r="H34" s="25">
        <f>G34/G45*1000</f>
        <v>0</v>
      </c>
      <c r="I34" s="25">
        <v>0</v>
      </c>
      <c r="J34" s="25">
        <f>I34/I45*1000</f>
        <v>0</v>
      </c>
      <c r="K34" s="25">
        <v>0</v>
      </c>
      <c r="L34" s="25">
        <f>K34/K45*1000</f>
        <v>0</v>
      </c>
      <c r="M34" s="25">
        <v>0</v>
      </c>
      <c r="N34" s="25">
        <f>M34/M45*1000</f>
        <v>0</v>
      </c>
      <c r="O34" s="25">
        <v>0</v>
      </c>
      <c r="P34" s="25">
        <f>O34/O45*1000</f>
        <v>0</v>
      </c>
      <c r="Q34" s="25">
        <v>0</v>
      </c>
      <c r="R34" s="25">
        <f>Q34/Q45*1000</f>
        <v>0</v>
      </c>
      <c r="S34" s="26"/>
      <c r="T34" s="26"/>
      <c r="U34" s="27"/>
      <c r="V34" s="27"/>
      <c r="W34" s="27"/>
      <c r="X34" s="27"/>
      <c r="Y34" s="27"/>
      <c r="Z34" s="27"/>
    </row>
    <row r="35" spans="1:26" s="28" customFormat="1" ht="15.75">
      <c r="A35" s="11">
        <v>5</v>
      </c>
      <c r="B35" s="23" t="s">
        <v>48</v>
      </c>
      <c r="C35" s="24" t="e">
        <f>'Додаток1 скор'!F42</f>
        <v>#REF!</v>
      </c>
      <c r="D35" s="24" t="e">
        <f>'Додаток1 скор'!G42</f>
        <v>#REF!</v>
      </c>
      <c r="E35" s="25" t="e">
        <f>'Додаток1 скор'!H42</f>
        <v>#REF!</v>
      </c>
      <c r="F35" s="25" t="e">
        <f>'Додаток1 скор'!L42</f>
        <v>#REF!</v>
      </c>
      <c r="G35" s="25">
        <f>G9+G26-0.02</f>
        <v>157776.27000000002</v>
      </c>
      <c r="H35" s="25">
        <v>1548.69</v>
      </c>
      <c r="I35" s="25">
        <f>I9+I26</f>
        <v>106688.56910073603</v>
      </c>
      <c r="J35" s="25">
        <f>I35/I45*1000</f>
        <v>2227.1149823751207</v>
      </c>
      <c r="K35" s="25">
        <f>K9+K26+0.01</f>
        <v>71503.44</v>
      </c>
      <c r="L35" s="25">
        <v>1548.69</v>
      </c>
      <c r="M35" s="25">
        <f>M9+M26</f>
        <v>27350.73527989218</v>
      </c>
      <c r="N35" s="25">
        <f>M35/M45*1000</f>
        <v>2176.221396677431</v>
      </c>
      <c r="O35" s="25">
        <f>O9+O26+0.01</f>
        <v>4647.37</v>
      </c>
      <c r="P35" s="25">
        <v>1548.92</v>
      </c>
      <c r="Q35" s="25">
        <f>Q9+Q26</f>
        <v>1734.5819893717685</v>
      </c>
      <c r="R35" s="25">
        <f>Q35/Q45*1000</f>
        <v>2224.8470634199184</v>
      </c>
      <c r="S35" s="26"/>
      <c r="T35" s="26">
        <f>T26+T9</f>
        <v>135773.86437</v>
      </c>
      <c r="U35" s="27"/>
      <c r="V35" s="27"/>
      <c r="W35" s="27"/>
      <c r="X35" s="27"/>
      <c r="Y35" s="27"/>
      <c r="Z35" s="27"/>
    </row>
    <row r="36" spans="1:26" s="28" customFormat="1" ht="15.75">
      <c r="A36" s="11">
        <v>6</v>
      </c>
      <c r="B36" s="23" t="s">
        <v>49</v>
      </c>
      <c r="C36" s="24"/>
      <c r="D36" s="24"/>
      <c r="E36" s="25"/>
      <c r="F36" s="25"/>
      <c r="G36" s="25">
        <v>0</v>
      </c>
      <c r="H36" s="25">
        <f>G36/G45*1000</f>
        <v>0</v>
      </c>
      <c r="I36" s="25">
        <v>0</v>
      </c>
      <c r="J36" s="25">
        <f>I36/I45*1000</f>
        <v>0</v>
      </c>
      <c r="K36" s="25">
        <v>0</v>
      </c>
      <c r="L36" s="25">
        <f>K36/K45*1000</f>
        <v>0</v>
      </c>
      <c r="M36" s="25">
        <v>0</v>
      </c>
      <c r="N36" s="25">
        <f>M36/M45*1000</f>
        <v>0</v>
      </c>
      <c r="O36" s="25">
        <v>0</v>
      </c>
      <c r="P36" s="25">
        <f>O36/O45*1000</f>
        <v>0</v>
      </c>
      <c r="Q36" s="25">
        <v>0</v>
      </c>
      <c r="R36" s="25">
        <f>Q36/Q45*1000</f>
        <v>0</v>
      </c>
      <c r="S36" s="26"/>
      <c r="T36" s="26">
        <f>I43+M43+Q43</f>
        <v>135773.88637</v>
      </c>
      <c r="U36" s="27"/>
      <c r="V36" s="27"/>
      <c r="W36" s="27"/>
      <c r="X36" s="27"/>
      <c r="Y36" s="27"/>
      <c r="Z36" s="27"/>
    </row>
    <row r="37" spans="1:26" s="28" customFormat="1" ht="15.75">
      <c r="A37" s="11">
        <v>7</v>
      </c>
      <c r="B37" s="37" t="s">
        <v>50</v>
      </c>
      <c r="C37" s="24" t="e">
        <f>'Додаток1 скор'!F43</f>
        <v>#REF!</v>
      </c>
      <c r="D37" s="24" t="e">
        <f>'Додаток1 скор'!G43</f>
        <v>#REF!</v>
      </c>
      <c r="E37" s="25" t="e">
        <f>'Додаток1 скор'!H43</f>
        <v>#REF!</v>
      </c>
      <c r="F37" s="25" t="e">
        <f>'Додаток1 скор'!L43</f>
        <v>#REF!</v>
      </c>
      <c r="G37" s="25">
        <v>3484.97</v>
      </c>
      <c r="H37" s="25">
        <v>33.66</v>
      </c>
      <c r="I37" s="25">
        <v>0</v>
      </c>
      <c r="J37" s="25">
        <f>I37/I45*1000</f>
        <v>0</v>
      </c>
      <c r="K37" s="25">
        <v>1579.38</v>
      </c>
      <c r="L37" s="25">
        <v>33.66</v>
      </c>
      <c r="M37" s="25">
        <v>0</v>
      </c>
      <c r="N37" s="25">
        <f>M37/M45*1000</f>
        <v>0</v>
      </c>
      <c r="O37" s="25">
        <v>102.65</v>
      </c>
      <c r="P37" s="25">
        <v>33.67</v>
      </c>
      <c r="Q37" s="25">
        <v>0</v>
      </c>
      <c r="R37" s="25">
        <f>Q37/Q45*1000</f>
        <v>0</v>
      </c>
      <c r="S37" s="26"/>
      <c r="T37" s="26"/>
      <c r="U37" s="27"/>
      <c r="V37" s="27"/>
      <c r="W37" s="27"/>
      <c r="X37" s="27"/>
      <c r="Y37" s="27"/>
      <c r="Z37" s="27"/>
    </row>
    <row r="38" spans="1:65" ht="15.75" hidden="1">
      <c r="A38" s="29" t="s">
        <v>51</v>
      </c>
      <c r="B38" s="30" t="s">
        <v>52</v>
      </c>
      <c r="C38" s="31" t="e">
        <f>'Додаток1 скор'!F44</f>
        <v>#REF!</v>
      </c>
      <c r="D38" s="31" t="e">
        <f>'Додаток1 скор'!G44</f>
        <v>#REF!</v>
      </c>
      <c r="E38" s="32" t="e">
        <f>'Додаток1 скор'!H44</f>
        <v>#REF!</v>
      </c>
      <c r="F38" s="32" t="e">
        <f>'Додаток1 скор'!L44</f>
        <v>#REF!</v>
      </c>
      <c r="G38" s="32"/>
      <c r="H38" s="25">
        <f>G38/G45*1000</f>
        <v>0</v>
      </c>
      <c r="I38" s="32"/>
      <c r="J38" s="25">
        <f>I38/I45*1000</f>
        <v>0</v>
      </c>
      <c r="K38" s="32"/>
      <c r="L38" s="25">
        <f>K38/K45*1000</f>
        <v>0</v>
      </c>
      <c r="M38" s="32"/>
      <c r="N38" s="25">
        <f>M38/M45*1000</f>
        <v>0</v>
      </c>
      <c r="O38" s="32"/>
      <c r="P38" s="25">
        <f>O38/O45*1000</f>
        <v>0</v>
      </c>
      <c r="Q38" s="32"/>
      <c r="R38" s="25">
        <f>Q38/Q45*1000</f>
        <v>0</v>
      </c>
      <c r="S38" s="33"/>
      <c r="T38" s="33"/>
      <c r="U38" s="27"/>
      <c r="V38" s="27"/>
      <c r="W38" s="27"/>
      <c r="X38" s="27"/>
      <c r="Y38" s="27"/>
      <c r="Z38" s="27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</row>
    <row r="39" spans="1:65" ht="15.75" hidden="1">
      <c r="A39" s="29" t="s">
        <v>53</v>
      </c>
      <c r="B39" s="30" t="s">
        <v>54</v>
      </c>
      <c r="C39" s="31" t="e">
        <f>'Додаток1 скор'!F45</f>
        <v>#REF!</v>
      </c>
      <c r="D39" s="31" t="e">
        <f>'Додаток1 скор'!G45</f>
        <v>#REF!</v>
      </c>
      <c r="E39" s="32" t="e">
        <f>'Додаток1 скор'!H45</f>
        <v>#REF!</v>
      </c>
      <c r="F39" s="32" t="e">
        <f>'Додаток1 скор'!L45</f>
        <v>#REF!</v>
      </c>
      <c r="G39" s="32"/>
      <c r="H39" s="25" t="e">
        <f>G39/G72*1000</f>
        <v>#DIV/0!</v>
      </c>
      <c r="I39" s="32"/>
      <c r="J39" s="25" t="e">
        <f>I39/I72*1000</f>
        <v>#DIV/0!</v>
      </c>
      <c r="K39" s="32"/>
      <c r="L39" s="25" t="e">
        <f>K39/K72*1000</f>
        <v>#DIV/0!</v>
      </c>
      <c r="M39" s="32"/>
      <c r="N39" s="25" t="e">
        <f>M39/M72*1000</f>
        <v>#DIV/0!</v>
      </c>
      <c r="O39" s="32"/>
      <c r="P39" s="25" t="e">
        <f>O39/O72*1000</f>
        <v>#DIV/0!</v>
      </c>
      <c r="Q39" s="32"/>
      <c r="R39" s="25" t="e">
        <f>Q39/Q72*1000</f>
        <v>#DIV/0!</v>
      </c>
      <c r="S39" s="33"/>
      <c r="T39" s="33"/>
      <c r="U39" s="27"/>
      <c r="V39" s="27"/>
      <c r="W39" s="27"/>
      <c r="X39" s="27"/>
      <c r="Y39" s="27"/>
      <c r="Z39" s="27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</row>
    <row r="40" spans="1:65" ht="15.75" hidden="1">
      <c r="A40" s="29" t="s">
        <v>53</v>
      </c>
      <c r="B40" s="30" t="str">
        <f>'Додаток2 скор'!B45</f>
        <v>резервний фонд (капітал) та дивіденди </v>
      </c>
      <c r="C40" s="31" t="e">
        <f>'Додаток1 скор'!F46</f>
        <v>#REF!</v>
      </c>
      <c r="D40" s="31" t="e">
        <f>'Додаток1 скор'!G46</f>
        <v>#REF!</v>
      </c>
      <c r="E40" s="32" t="e">
        <f>'Додаток1 скор'!H46</f>
        <v>#REF!</v>
      </c>
      <c r="F40" s="32" t="e">
        <f>'Додаток1 скор'!L46</f>
        <v>#REF!</v>
      </c>
      <c r="G40" s="32"/>
      <c r="H40" s="25">
        <f>G40/G45*1000</f>
        <v>0</v>
      </c>
      <c r="I40" s="32"/>
      <c r="J40" s="25">
        <f>I40/I45*1000</f>
        <v>0</v>
      </c>
      <c r="K40" s="32"/>
      <c r="L40" s="25">
        <f>K40/K45*1000</f>
        <v>0</v>
      </c>
      <c r="M40" s="32"/>
      <c r="N40" s="25">
        <f>M40/M45*1000</f>
        <v>0</v>
      </c>
      <c r="O40" s="32"/>
      <c r="P40" s="25">
        <f>O40/O45*1000</f>
        <v>0</v>
      </c>
      <c r="Q40" s="32"/>
      <c r="R40" s="25">
        <f>Q40/Q45*1000</f>
        <v>0</v>
      </c>
      <c r="S40" s="33"/>
      <c r="T40" s="33"/>
      <c r="U40" s="27"/>
      <c r="V40" s="27"/>
      <c r="W40" s="27"/>
      <c r="X40" s="27"/>
      <c r="Y40" s="27"/>
      <c r="Z40" s="27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</row>
    <row r="41" spans="1:65" ht="15.75" hidden="1">
      <c r="A41" s="29" t="s">
        <v>55</v>
      </c>
      <c r="B41" s="30" t="s">
        <v>56</v>
      </c>
      <c r="C41" s="31" t="e">
        <f>'Додаток1 скор'!F47</f>
        <v>#REF!</v>
      </c>
      <c r="D41" s="31" t="e">
        <f>'Додаток1 скор'!G47</f>
        <v>#REF!</v>
      </c>
      <c r="E41" s="32" t="e">
        <f>'Додаток1 скор'!H47</f>
        <v>#REF!</v>
      </c>
      <c r="F41" s="32" t="e">
        <f>'Додаток1 скор'!L47</f>
        <v>#REF!</v>
      </c>
      <c r="G41" s="32"/>
      <c r="H41" s="25">
        <f>G41/G45*1000</f>
        <v>0</v>
      </c>
      <c r="I41" s="32"/>
      <c r="J41" s="25">
        <f>I41/I45*1000</f>
        <v>0</v>
      </c>
      <c r="K41" s="32"/>
      <c r="L41" s="25">
        <f>K41/K45*1000</f>
        <v>0</v>
      </c>
      <c r="M41" s="32"/>
      <c r="N41" s="25">
        <f>M41/M45*1000</f>
        <v>0</v>
      </c>
      <c r="O41" s="32"/>
      <c r="P41" s="25">
        <f>O41/O45*1000</f>
        <v>0</v>
      </c>
      <c r="Q41" s="32"/>
      <c r="R41" s="25">
        <f>Q41/Q45*1000</f>
        <v>0</v>
      </c>
      <c r="S41" s="33"/>
      <c r="T41" s="33"/>
      <c r="U41" s="27"/>
      <c r="V41" s="27"/>
      <c r="W41" s="27"/>
      <c r="X41" s="27"/>
      <c r="Y41" s="27"/>
      <c r="Z41" s="27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</row>
    <row r="42" spans="1:65" ht="15.75" hidden="1">
      <c r="A42" s="29" t="s">
        <v>57</v>
      </c>
      <c r="B42" s="30" t="str">
        <f>'Додаток2 скор'!B47</f>
        <v>інше використання прибутку (прибуток у тарифах НКРЕ)</v>
      </c>
      <c r="C42" s="31" t="e">
        <f>'Додаток1 скор'!F48</f>
        <v>#REF!</v>
      </c>
      <c r="D42" s="31" t="e">
        <f>'Додаток1 скор'!G48</f>
        <v>#REF!</v>
      </c>
      <c r="E42" s="32" t="e">
        <f>'Додаток1 скор'!H48</f>
        <v>#REF!</v>
      </c>
      <c r="F42" s="32" t="e">
        <f>'Додаток1 скор'!L48</f>
        <v>#REF!</v>
      </c>
      <c r="G42" s="32"/>
      <c r="H42" s="25">
        <f>G42/G45*1000</f>
        <v>0</v>
      </c>
      <c r="I42" s="32"/>
      <c r="J42" s="25">
        <f>I42/I45*1000</f>
        <v>0</v>
      </c>
      <c r="K42" s="32"/>
      <c r="L42" s="25">
        <f>K42/K45*1000</f>
        <v>0</v>
      </c>
      <c r="M42" s="32"/>
      <c r="N42" s="25">
        <f>M42/M45*1000</f>
        <v>0</v>
      </c>
      <c r="O42" s="32"/>
      <c r="P42" s="25">
        <f>O42/O45*1000</f>
        <v>0</v>
      </c>
      <c r="Q42" s="32"/>
      <c r="R42" s="25">
        <f>Q42/Q45*1000</f>
        <v>0</v>
      </c>
      <c r="S42" s="33"/>
      <c r="T42" s="33"/>
      <c r="U42" s="27"/>
      <c r="V42" s="27"/>
      <c r="W42" s="27"/>
      <c r="X42" s="27"/>
      <c r="Y42" s="27"/>
      <c r="Z42" s="27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</row>
    <row r="43" spans="1:26" s="28" customFormat="1" ht="15.75">
      <c r="A43" s="11">
        <v>8</v>
      </c>
      <c r="B43" s="23" t="s">
        <v>58</v>
      </c>
      <c r="C43" s="24" t="e">
        <f>'Додаток1 скор'!F49</f>
        <v>#REF!</v>
      </c>
      <c r="D43" s="24" t="e">
        <f>'Додаток1 скор'!G49</f>
        <v>#REF!</v>
      </c>
      <c r="E43" s="25" t="e">
        <f>'Додаток1 скор'!H49</f>
        <v>#REF!</v>
      </c>
      <c r="F43" s="25" t="e">
        <f>'Додаток1 скор'!L49</f>
        <v>#REF!</v>
      </c>
      <c r="G43" s="25">
        <f>G35+G36+G37+0.01</f>
        <v>161261.25000000003</v>
      </c>
      <c r="H43" s="25">
        <v>1582.35</v>
      </c>
      <c r="I43" s="25">
        <f>I35+I36+I37</f>
        <v>106688.56910073603</v>
      </c>
      <c r="J43" s="25">
        <f>I43/I45*1000</f>
        <v>2227.1149823751207</v>
      </c>
      <c r="K43" s="25">
        <f>K35+K36+K37</f>
        <v>73082.82</v>
      </c>
      <c r="L43" s="25">
        <v>1582.35</v>
      </c>
      <c r="M43" s="25">
        <f>M35+M36+M37</f>
        <v>27350.73527989218</v>
      </c>
      <c r="N43" s="25">
        <f>M43/M45*1000</f>
        <v>2176.221396677431</v>
      </c>
      <c r="O43" s="25">
        <f>O35+O36+O37</f>
        <v>4750.0199999999995</v>
      </c>
      <c r="P43" s="25">
        <v>1582.59</v>
      </c>
      <c r="Q43" s="25">
        <f>Q35+Q36+Q37</f>
        <v>1734.5819893717685</v>
      </c>
      <c r="R43" s="25">
        <f>Q43/Q45*1000</f>
        <v>2224.8470634199184</v>
      </c>
      <c r="S43" s="26"/>
      <c r="T43" s="26"/>
      <c r="U43" s="27"/>
      <c r="V43" s="27">
        <f>G45+K45+O45</f>
        <v>131366.13999999998</v>
      </c>
      <c r="W43" s="27"/>
      <c r="X43" s="27"/>
      <c r="Y43" s="27"/>
      <c r="Z43" s="27"/>
    </row>
    <row r="44" spans="1:23" s="28" customFormat="1" ht="15.75">
      <c r="A44" s="11">
        <v>9</v>
      </c>
      <c r="B44" s="23" t="s">
        <v>202</v>
      </c>
      <c r="C44" s="24"/>
      <c r="D44" s="25" t="e">
        <f>D43</f>
        <v>#REF!</v>
      </c>
      <c r="E44" s="25"/>
      <c r="F44" s="25" t="e">
        <f>F35+F37</f>
        <v>#REF!</v>
      </c>
      <c r="G44" s="25">
        <f>G43</f>
        <v>161261.25000000003</v>
      </c>
      <c r="H44" s="25"/>
      <c r="I44" s="25">
        <v>75164.1</v>
      </c>
      <c r="J44" s="25"/>
      <c r="K44" s="25">
        <f>K43</f>
        <v>73082.82</v>
      </c>
      <c r="L44" s="25"/>
      <c r="M44" s="25">
        <v>20435.1</v>
      </c>
      <c r="N44" s="25"/>
      <c r="O44" s="25">
        <f>O43</f>
        <v>4750.0199999999995</v>
      </c>
      <c r="P44" s="25"/>
      <c r="Q44" s="25">
        <v>1289.6</v>
      </c>
      <c r="R44" s="25"/>
      <c r="S44" s="26"/>
      <c r="T44" s="26"/>
      <c r="U44" s="27"/>
      <c r="V44" s="27">
        <f>I45+M45+Q45</f>
        <v>61252.01700000001</v>
      </c>
      <c r="W44" s="27"/>
    </row>
    <row r="45" spans="1:22" s="28" customFormat="1" ht="15.75" customHeight="1">
      <c r="A45" s="11">
        <v>10</v>
      </c>
      <c r="B45" s="23" t="s">
        <v>59</v>
      </c>
      <c r="C45" s="24">
        <f>G45+L45+E45</f>
        <v>239557.08</v>
      </c>
      <c r="D45" s="24"/>
      <c r="E45" s="25">
        <f>'Додаток2 скор'!H50</f>
        <v>150928.68</v>
      </c>
      <c r="F45" s="25"/>
      <c r="G45" s="25">
        <v>88628.4</v>
      </c>
      <c r="H45" s="25"/>
      <c r="I45" s="25">
        <v>47904.383</v>
      </c>
      <c r="J45" s="25"/>
      <c r="K45" s="25">
        <v>40128.19</v>
      </c>
      <c r="L45" s="25"/>
      <c r="M45" s="25">
        <v>12567.993</v>
      </c>
      <c r="N45" s="25"/>
      <c r="O45" s="25">
        <v>2609.55</v>
      </c>
      <c r="P45" s="25"/>
      <c r="Q45" s="25">
        <v>779.641</v>
      </c>
      <c r="R45" s="25"/>
      <c r="U45" s="27"/>
      <c r="V45" s="27"/>
    </row>
    <row r="46" spans="1:22" s="28" customFormat="1" ht="18" customHeight="1">
      <c r="A46" s="11">
        <v>11</v>
      </c>
      <c r="B46" s="40" t="str">
        <f>'Додаток2 скор'!B51</f>
        <v>Рівень рентабельності, %</v>
      </c>
      <c r="C46" s="24" t="e">
        <f>C37/C35*100</f>
        <v>#REF!</v>
      </c>
      <c r="D46" s="24" t="e">
        <f>D37/D35*100</f>
        <v>#REF!</v>
      </c>
      <c r="E46" s="24" t="e">
        <f>E37/E35*100</f>
        <v>#REF!</v>
      </c>
      <c r="F46" s="24" t="e">
        <f>F37/F35*100</f>
        <v>#REF!</v>
      </c>
      <c r="G46" s="24">
        <v>2.21</v>
      </c>
      <c r="H46" s="24"/>
      <c r="I46" s="24"/>
      <c r="J46" s="24"/>
      <c r="K46" s="24">
        <v>2.21</v>
      </c>
      <c r="L46" s="24"/>
      <c r="M46" s="24"/>
      <c r="N46" s="229"/>
      <c r="O46" s="39">
        <v>2.21</v>
      </c>
      <c r="P46" s="39"/>
      <c r="Q46" s="38"/>
      <c r="R46" s="38"/>
      <c r="T46" s="28" t="s">
        <v>203</v>
      </c>
      <c r="U46" s="27"/>
      <c r="V46" s="230">
        <f>Q44+M44+I44</f>
        <v>96888.8</v>
      </c>
    </row>
    <row r="47" spans="1:22" s="42" customFormat="1" ht="39" customHeight="1">
      <c r="A47" s="237" t="s">
        <v>207</v>
      </c>
      <c r="B47" s="237"/>
      <c r="C47" s="237"/>
      <c r="D47" s="237"/>
      <c r="E47" s="237"/>
      <c r="F47" s="237"/>
      <c r="G47" s="41"/>
      <c r="H47" s="238"/>
      <c r="I47" s="238"/>
      <c r="J47" s="238"/>
      <c r="K47" s="238"/>
      <c r="L47" s="238"/>
      <c r="M47" s="238"/>
      <c r="N47" s="239" t="s">
        <v>211</v>
      </c>
      <c r="O47" s="239"/>
      <c r="P47" s="239"/>
      <c r="T47" s="235">
        <f>I43+M43+Q43</f>
        <v>135773.88637</v>
      </c>
      <c r="V47" s="45"/>
    </row>
    <row r="48" spans="1:22" s="45" customFormat="1" ht="18.75" hidden="1">
      <c r="A48" s="43"/>
      <c r="B48" s="233" t="s">
        <v>60</v>
      </c>
      <c r="C48" s="233"/>
      <c r="D48" s="233"/>
      <c r="E48" s="233"/>
      <c r="F48" s="233"/>
      <c r="L48" s="44" t="s">
        <v>61</v>
      </c>
      <c r="V48" s="42"/>
    </row>
    <row r="49" spans="1:22" s="42" customFormat="1" ht="35.25" customHeight="1">
      <c r="A49" s="231"/>
      <c r="B49" s="232" t="s">
        <v>204</v>
      </c>
      <c r="C49" s="232"/>
      <c r="D49" s="232"/>
      <c r="E49" s="232"/>
      <c r="F49" s="232"/>
      <c r="N49" s="243" t="s">
        <v>205</v>
      </c>
      <c r="O49" s="243"/>
      <c r="P49" s="243"/>
      <c r="V49" s="2"/>
    </row>
    <row r="51" spans="2:7" ht="12.75" hidden="1">
      <c r="B51" s="13" t="s">
        <v>62</v>
      </c>
      <c r="G51" s="2" t="s">
        <v>63</v>
      </c>
    </row>
  </sheetData>
  <sheetProtection selectLockedCells="1" selectUnlockedCells="1"/>
  <mergeCells count="20">
    <mergeCell ref="N49:P49"/>
    <mergeCell ref="Q6:R6"/>
    <mergeCell ref="O5:R5"/>
    <mergeCell ref="I6:J6"/>
    <mergeCell ref="G5:J5"/>
    <mergeCell ref="K6:L6"/>
    <mergeCell ref="M6:N6"/>
    <mergeCell ref="O6:P6"/>
    <mergeCell ref="K5:N5"/>
    <mergeCell ref="G6:H6"/>
    <mergeCell ref="A47:F47"/>
    <mergeCell ref="H47:M47"/>
    <mergeCell ref="N47:P47"/>
    <mergeCell ref="A2:M2"/>
    <mergeCell ref="A3:M3"/>
    <mergeCell ref="B4:H4"/>
    <mergeCell ref="A5:A7"/>
    <mergeCell ref="B5:B7"/>
    <mergeCell ref="C5:D5"/>
    <mergeCell ref="E5:F5"/>
  </mergeCells>
  <printOptions horizontalCentered="1"/>
  <pageMargins left="0.15763888888888888" right="0.15763888888888888" top="0.31527777777777777" bottom="0.3541666666666667" header="0.5118055555555555" footer="0.5118055555555555"/>
  <pageSetup horizontalDpi="300" verticalDpi="300" orientation="landscape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DF57"/>
  <sheetViews>
    <sheetView zoomScale="70" zoomScaleNormal="70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8" sqref="B18"/>
    </sheetView>
  </sheetViews>
  <sheetFormatPr defaultColWidth="11.57421875" defaultRowHeight="12.75"/>
  <cols>
    <col min="1" max="1" width="8.57421875" style="2" customWidth="1"/>
    <col min="2" max="2" width="62.421875" style="2" customWidth="1"/>
    <col min="3" max="7" width="0" style="2" hidden="1" customWidth="1"/>
    <col min="8" max="8" width="11.28125" style="2" customWidth="1"/>
    <col min="9" max="9" width="10.28125" style="2" customWidth="1"/>
    <col min="10" max="10" width="8.8515625" style="46" customWidth="1"/>
    <col min="11" max="11" width="12.8515625" style="46" customWidth="1"/>
    <col min="12" max="12" width="13.140625" style="46" customWidth="1"/>
    <col min="13" max="13" width="11.8515625" style="2" customWidth="1"/>
    <col min="14" max="14" width="10.00390625" style="2" customWidth="1"/>
    <col min="15" max="15" width="8.8515625" style="2" customWidth="1"/>
    <col min="16" max="16" width="12.8515625" style="2" customWidth="1"/>
    <col min="17" max="17" width="13.140625" style="2" customWidth="1"/>
    <col min="18" max="18" width="11.00390625" style="2" customWidth="1"/>
    <col min="19" max="19" width="11.7109375" style="2" customWidth="1"/>
    <col min="20" max="20" width="8.7109375" style="2" customWidth="1"/>
    <col min="21" max="21" width="13.8515625" style="2" customWidth="1"/>
    <col min="22" max="22" width="11.8515625" style="2" customWidth="1"/>
    <col min="23" max="30" width="0" style="2" hidden="1" customWidth="1"/>
    <col min="31" max="31" width="8.140625" style="2" customWidth="1"/>
    <col min="32" max="16384" width="11.57421875" style="2" customWidth="1"/>
  </cols>
  <sheetData>
    <row r="1" spans="1:22" ht="6.75" customHeight="1">
      <c r="A1" s="47"/>
      <c r="B1" s="5"/>
      <c r="C1" s="5"/>
      <c r="D1" s="5"/>
      <c r="E1" s="5"/>
      <c r="F1" s="5"/>
      <c r="G1" s="5"/>
      <c r="H1" s="5"/>
      <c r="I1" s="5"/>
      <c r="J1" s="48"/>
      <c r="K1" s="48"/>
      <c r="L1" s="48"/>
      <c r="M1" s="5"/>
      <c r="N1" s="48"/>
      <c r="O1" s="48"/>
      <c r="P1" s="48"/>
      <c r="Q1" s="48"/>
      <c r="R1" s="48"/>
      <c r="T1" s="48"/>
      <c r="U1" s="48"/>
      <c r="V1" s="48"/>
    </row>
    <row r="2" spans="1:22" ht="60" customHeight="1">
      <c r="A2" s="254" t="s">
        <v>64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</row>
    <row r="3" spans="1:22" ht="15.75">
      <c r="A3" s="49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50"/>
      <c r="P3" s="50"/>
      <c r="Q3" s="50"/>
      <c r="R3" s="256"/>
      <c r="S3" s="256"/>
      <c r="T3" s="50"/>
      <c r="U3" s="256" t="s">
        <v>0</v>
      </c>
      <c r="V3" s="256"/>
    </row>
    <row r="4" spans="1:110" ht="21.75" customHeight="1">
      <c r="A4" s="242" t="s">
        <v>1</v>
      </c>
      <c r="B4" s="242" t="s">
        <v>2</v>
      </c>
      <c r="C4" s="14" t="s">
        <v>65</v>
      </c>
      <c r="D4" s="242" t="s">
        <v>66</v>
      </c>
      <c r="E4" s="242"/>
      <c r="F4" s="242"/>
      <c r="G4" s="242"/>
      <c r="H4" s="242" t="s">
        <v>67</v>
      </c>
      <c r="I4" s="242"/>
      <c r="J4" s="242"/>
      <c r="K4" s="242"/>
      <c r="L4" s="242"/>
      <c r="M4" s="242" t="s">
        <v>68</v>
      </c>
      <c r="N4" s="242"/>
      <c r="O4" s="242"/>
      <c r="P4" s="242"/>
      <c r="Q4" s="242"/>
      <c r="R4" s="242" t="s">
        <v>69</v>
      </c>
      <c r="S4" s="242"/>
      <c r="T4" s="242"/>
      <c r="U4" s="242"/>
      <c r="V4" s="242"/>
      <c r="W4" s="257" t="s">
        <v>70</v>
      </c>
      <c r="X4" s="257"/>
      <c r="Y4" s="257" t="s">
        <v>4</v>
      </c>
      <c r="Z4" s="257"/>
      <c r="AA4" s="257" t="s">
        <v>71</v>
      </c>
      <c r="AB4" s="257"/>
      <c r="AC4" s="257" t="s">
        <v>72</v>
      </c>
      <c r="AD4" s="257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</row>
    <row r="5" spans="1:110" ht="47.25" customHeight="1">
      <c r="A5" s="242"/>
      <c r="B5" s="242"/>
      <c r="C5" s="51"/>
      <c r="D5" s="242" t="s">
        <v>73</v>
      </c>
      <c r="E5" s="242"/>
      <c r="F5" s="242" t="s">
        <v>74</v>
      </c>
      <c r="G5" s="242"/>
      <c r="H5" s="242" t="s">
        <v>73</v>
      </c>
      <c r="I5" s="242"/>
      <c r="J5" s="11" t="s">
        <v>75</v>
      </c>
      <c r="K5" s="242" t="s">
        <v>74</v>
      </c>
      <c r="L5" s="242"/>
      <c r="M5" s="242" t="s">
        <v>73</v>
      </c>
      <c r="N5" s="242"/>
      <c r="O5" s="11" t="s">
        <v>75</v>
      </c>
      <c r="P5" s="242" t="s">
        <v>74</v>
      </c>
      <c r="Q5" s="242"/>
      <c r="R5" s="242" t="s">
        <v>73</v>
      </c>
      <c r="S5" s="242"/>
      <c r="T5" s="11" t="s">
        <v>75</v>
      </c>
      <c r="U5" s="242" t="s">
        <v>74</v>
      </c>
      <c r="V5" s="242"/>
      <c r="W5" s="15"/>
      <c r="X5" s="52"/>
      <c r="Y5" s="15"/>
      <c r="Z5" s="52"/>
      <c r="AA5" s="15"/>
      <c r="AB5" s="52"/>
      <c r="AC5" s="15"/>
      <c r="AD5" s="52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</row>
    <row r="6" spans="1:110" ht="36.75" customHeight="1">
      <c r="A6" s="242"/>
      <c r="B6" s="242"/>
      <c r="C6" s="51"/>
      <c r="D6" s="53" t="s">
        <v>7</v>
      </c>
      <c r="E6" s="53" t="s">
        <v>8</v>
      </c>
      <c r="F6" s="53" t="s">
        <v>7</v>
      </c>
      <c r="G6" s="53" t="s">
        <v>8</v>
      </c>
      <c r="H6" s="53" t="s">
        <v>7</v>
      </c>
      <c r="I6" s="53" t="s">
        <v>8</v>
      </c>
      <c r="J6" s="17" t="s">
        <v>76</v>
      </c>
      <c r="K6" s="17" t="s">
        <v>7</v>
      </c>
      <c r="L6" s="17" t="s">
        <v>8</v>
      </c>
      <c r="M6" s="53" t="s">
        <v>7</v>
      </c>
      <c r="N6" s="17" t="s">
        <v>8</v>
      </c>
      <c r="O6" s="17" t="s">
        <v>76</v>
      </c>
      <c r="P6" s="17" t="s">
        <v>7</v>
      </c>
      <c r="Q6" s="17" t="s">
        <v>8</v>
      </c>
      <c r="R6" s="17" t="s">
        <v>7</v>
      </c>
      <c r="S6" s="17" t="s">
        <v>8</v>
      </c>
      <c r="T6" s="17" t="s">
        <v>76</v>
      </c>
      <c r="U6" s="17" t="s">
        <v>7</v>
      </c>
      <c r="V6" s="17" t="s">
        <v>8</v>
      </c>
      <c r="W6" s="17" t="s">
        <v>9</v>
      </c>
      <c r="X6" s="17" t="s">
        <v>8</v>
      </c>
      <c r="Y6" s="17" t="s">
        <v>9</v>
      </c>
      <c r="Z6" s="17" t="s">
        <v>8</v>
      </c>
      <c r="AA6" s="17" t="s">
        <v>9</v>
      </c>
      <c r="AB6" s="17" t="s">
        <v>8</v>
      </c>
      <c r="AC6" s="17" t="s">
        <v>9</v>
      </c>
      <c r="AD6" s="17" t="s">
        <v>8</v>
      </c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</row>
    <row r="7" spans="1:110" ht="15.75" customHeight="1">
      <c r="A7" s="20">
        <v>1</v>
      </c>
      <c r="B7" s="20">
        <v>2</v>
      </c>
      <c r="C7" s="54">
        <v>3</v>
      </c>
      <c r="D7" s="54">
        <v>3</v>
      </c>
      <c r="E7" s="54">
        <v>4</v>
      </c>
      <c r="F7" s="54">
        <v>5</v>
      </c>
      <c r="G7" s="54">
        <v>6</v>
      </c>
      <c r="H7" s="54">
        <v>3</v>
      </c>
      <c r="I7" s="54">
        <v>4</v>
      </c>
      <c r="J7" s="54">
        <v>5</v>
      </c>
      <c r="K7" s="54">
        <v>6</v>
      </c>
      <c r="L7" s="54">
        <v>7</v>
      </c>
      <c r="M7" s="54">
        <v>8</v>
      </c>
      <c r="N7" s="54">
        <v>9</v>
      </c>
      <c r="O7" s="54">
        <v>10</v>
      </c>
      <c r="P7" s="54">
        <v>11</v>
      </c>
      <c r="Q7" s="54">
        <v>12</v>
      </c>
      <c r="R7" s="54">
        <v>13</v>
      </c>
      <c r="S7" s="54">
        <v>14</v>
      </c>
      <c r="T7" s="54">
        <v>15</v>
      </c>
      <c r="U7" s="54">
        <v>16</v>
      </c>
      <c r="V7" s="54">
        <v>17</v>
      </c>
      <c r="W7" s="54">
        <v>3</v>
      </c>
      <c r="X7" s="54">
        <v>4</v>
      </c>
      <c r="Y7" s="54">
        <v>5</v>
      </c>
      <c r="Z7" s="54">
        <v>6</v>
      </c>
      <c r="AA7" s="54">
        <v>7</v>
      </c>
      <c r="AB7" s="54">
        <v>8</v>
      </c>
      <c r="AC7" s="54">
        <v>9</v>
      </c>
      <c r="AD7" s="54">
        <v>10</v>
      </c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</row>
    <row r="8" spans="1:31" s="28" customFormat="1" ht="16.5" customHeight="1">
      <c r="A8" s="11">
        <v>1</v>
      </c>
      <c r="B8" s="55" t="s">
        <v>10</v>
      </c>
      <c r="C8" s="56" t="s">
        <v>77</v>
      </c>
      <c r="D8" s="57" t="e">
        <f aca="true" t="shared" si="0" ref="D8:D49">H8+M8+R8</f>
        <v>#REF!</v>
      </c>
      <c r="E8" s="57" t="e">
        <f>'Додаток2 скор'!E8+#REF!+#REF!</f>
        <v>#REF!</v>
      </c>
      <c r="F8" s="57" t="e">
        <f aca="true" t="shared" si="1" ref="F8:F49">H8+P8+U8</f>
        <v>#REF!</v>
      </c>
      <c r="G8" s="57" t="e">
        <f>'Додаток2 скор'!G8+#REF!+#REF!</f>
        <v>#REF!</v>
      </c>
      <c r="H8" s="57" t="e">
        <f>H9+H23+H24+H28</f>
        <v>#REF!</v>
      </c>
      <c r="I8" s="57" t="e">
        <f>'Додаток2 скор'!I8+#REF!+#REF!</f>
        <v>#REF!</v>
      </c>
      <c r="J8" s="58" t="e">
        <f>IF(H8=0,0,K8/H8)</f>
        <v>#REF!</v>
      </c>
      <c r="K8" s="57" t="e">
        <f>K9+K23+K24+K28</f>
        <v>#REF!</v>
      </c>
      <c r="L8" s="57" t="e">
        <f>'Додаток2 скор'!L8+#REF!+#REF!</f>
        <v>#REF!</v>
      </c>
      <c r="M8" s="57" t="e">
        <f>M9+M23+M24+M28</f>
        <v>#REF!</v>
      </c>
      <c r="N8" s="57" t="e">
        <f>'Додаток2 скор'!N8+#REF!+#REF!</f>
        <v>#REF!</v>
      </c>
      <c r="O8" s="58" t="e">
        <f>P8/M8</f>
        <v>#REF!</v>
      </c>
      <c r="P8" s="57" t="e">
        <f>P9+P23+P24+P28</f>
        <v>#REF!</v>
      </c>
      <c r="Q8" s="57" t="e">
        <f>'Додаток2 скор'!Q8+#REF!+#REF!</f>
        <v>#REF!</v>
      </c>
      <c r="R8" s="57" t="e">
        <f>R9+R23+R24+R28</f>
        <v>#REF!</v>
      </c>
      <c r="S8" s="57" t="e">
        <f>'Додаток2 скор'!S8+#REF!+#REF!</f>
        <v>#REF!</v>
      </c>
      <c r="T8" s="58" t="e">
        <f>U8/R8</f>
        <v>#REF!</v>
      </c>
      <c r="U8" s="57" t="e">
        <f>U9+U23+U24+U28</f>
        <v>#REF!</v>
      </c>
      <c r="V8" s="57" t="e">
        <f>'Додаток2 скор'!V8+#REF!+#REF!</f>
        <v>#REF!</v>
      </c>
      <c r="W8" s="59">
        <v>18463.34</v>
      </c>
      <c r="X8" s="60">
        <v>301.19</v>
      </c>
      <c r="Y8" s="61">
        <v>12392.62</v>
      </c>
      <c r="Z8" s="60">
        <v>237.51</v>
      </c>
      <c r="AA8" s="61">
        <v>4813.97</v>
      </c>
      <c r="AB8" s="60">
        <v>665.37</v>
      </c>
      <c r="AC8" s="61">
        <v>1256.74</v>
      </c>
      <c r="AD8" s="60">
        <v>665.37</v>
      </c>
      <c r="AE8" s="27"/>
    </row>
    <row r="9" spans="1:31" s="28" customFormat="1" ht="16.5" customHeight="1">
      <c r="A9" s="11" t="s">
        <v>11</v>
      </c>
      <c r="B9" s="55" t="s">
        <v>12</v>
      </c>
      <c r="C9" s="56" t="s">
        <v>77</v>
      </c>
      <c r="D9" s="57" t="e">
        <f t="shared" si="0"/>
        <v>#REF!</v>
      </c>
      <c r="E9" s="57" t="e">
        <f>'Додаток2 скор'!E9+#REF!+#REF!</f>
        <v>#REF!</v>
      </c>
      <c r="F9" s="57" t="e">
        <f t="shared" si="1"/>
        <v>#REF!</v>
      </c>
      <c r="G9" s="57" t="e">
        <f>'Додаток2 скор'!G9+#REF!+#REF!</f>
        <v>#REF!</v>
      </c>
      <c r="H9" s="57" t="e">
        <f>H10+H13+H14+H17+H21+H22+H20</f>
        <v>#REF!</v>
      </c>
      <c r="I9" s="57" t="e">
        <f>'Додаток2 скор'!I9+#REF!+#REF!</f>
        <v>#REF!</v>
      </c>
      <c r="J9" s="58" t="e">
        <f>IF(H9=0,0,K9/H9)</f>
        <v>#REF!</v>
      </c>
      <c r="K9" s="57" t="e">
        <f>SUM(K10:K22)-K10-K14-K17</f>
        <v>#REF!</v>
      </c>
      <c r="L9" s="57" t="e">
        <f>'Додаток2 скор'!L9+#REF!+#REF!</f>
        <v>#REF!</v>
      </c>
      <c r="M9" s="57" t="e">
        <f>M10+M13+M14+M17+M21+M22+M20</f>
        <v>#REF!</v>
      </c>
      <c r="N9" s="57" t="e">
        <f>'Додаток2 скор'!N9+#REF!+#REF!</f>
        <v>#REF!</v>
      </c>
      <c r="O9" s="58" t="e">
        <f>P9/M9</f>
        <v>#REF!</v>
      </c>
      <c r="P9" s="57" t="e">
        <f>P10+P13+P14+P17+P21+P22+P20</f>
        <v>#REF!</v>
      </c>
      <c r="Q9" s="57" t="e">
        <f>'Додаток2 скор'!Q9+#REF!+#REF!</f>
        <v>#REF!</v>
      </c>
      <c r="R9" s="57" t="e">
        <f>R10+R13+R14+R17+R21+R22+R20</f>
        <v>#REF!</v>
      </c>
      <c r="S9" s="57" t="e">
        <f>'Додаток2 скор'!S9+#REF!+#REF!</f>
        <v>#REF!</v>
      </c>
      <c r="T9" s="58" t="e">
        <f>U9/R9</f>
        <v>#REF!</v>
      </c>
      <c r="U9" s="57" t="e">
        <f>U10+U13+U14+U17+U21+U22+U20</f>
        <v>#REF!</v>
      </c>
      <c r="V9" s="57" t="e">
        <f>'Додаток2 скор'!V9+#REF!+#REF!</f>
        <v>#REF!</v>
      </c>
      <c r="W9" s="59">
        <v>16016.67</v>
      </c>
      <c r="X9" s="60">
        <v>261.28</v>
      </c>
      <c r="Y9" s="61">
        <v>10310.1</v>
      </c>
      <c r="Z9" s="60">
        <v>197.59</v>
      </c>
      <c r="AA9" s="61">
        <v>4525.21</v>
      </c>
      <c r="AB9" s="60">
        <v>625.46</v>
      </c>
      <c r="AC9" s="61">
        <v>1181.36</v>
      </c>
      <c r="AD9" s="60">
        <v>625.46</v>
      </c>
      <c r="AE9" s="27"/>
    </row>
    <row r="10" spans="1:110" s="35" customFormat="1" ht="16.5" customHeight="1">
      <c r="A10" s="29" t="s">
        <v>13</v>
      </c>
      <c r="B10" s="36" t="s">
        <v>78</v>
      </c>
      <c r="C10" s="62" t="s">
        <v>77</v>
      </c>
      <c r="D10" s="63">
        <f t="shared" si="0"/>
        <v>63225</v>
      </c>
      <c r="E10" s="63">
        <f>'Додаток2 скор'!E10</f>
        <v>298.3150965179681</v>
      </c>
      <c r="F10" s="63">
        <f t="shared" si="1"/>
        <v>54287.13590669442</v>
      </c>
      <c r="G10" s="63">
        <f>'Додаток2 скор'!G10</f>
        <v>256.14349051308176</v>
      </c>
      <c r="H10" s="63">
        <f>'Додаток2 скор'!H10</f>
        <v>26176.1</v>
      </c>
      <c r="I10" s="63">
        <f>'Додаток2 скор'!I10</f>
        <v>173.43357140604422</v>
      </c>
      <c r="J10" s="64">
        <f aca="true" t="shared" si="2" ref="J10:J48">IF(H10=0,0,K10/H10)</f>
        <v>1</v>
      </c>
      <c r="K10" s="63">
        <f>'Додаток2 скор'!K10</f>
        <v>26176.1</v>
      </c>
      <c r="L10" s="63">
        <f>'Додаток2 скор'!L10</f>
        <v>173.43357140604422</v>
      </c>
      <c r="M10" s="63">
        <f>'Додаток2 скор'!M10</f>
        <v>30639.109</v>
      </c>
      <c r="N10" s="63">
        <f>'Додаток2 скор'!N10</f>
        <v>607.2430305241647</v>
      </c>
      <c r="O10" s="64">
        <f aca="true" t="shared" si="3" ref="O10:O22">IF(M10=0,0,P10/M10)</f>
        <v>0.7280648991312262</v>
      </c>
      <c r="P10" s="63">
        <f>'Додаток2 скор'!P10</f>
        <v>22307.259803555644</v>
      </c>
      <c r="Q10" s="63">
        <f>'Додаток2 скор'!Q10</f>
        <v>442.1123357667161</v>
      </c>
      <c r="R10" s="63">
        <f>'Додаток2 скор'!R10</f>
        <v>6409.791</v>
      </c>
      <c r="S10" s="63">
        <f>'Додаток2 скор'!S10</f>
        <v>607.2431022134307</v>
      </c>
      <c r="T10" s="64">
        <f aca="true" t="shared" si="4" ref="T10:T21">IF(R10=0,0,U10/R10)</f>
        <v>0.9054548117308004</v>
      </c>
      <c r="U10" s="63">
        <f>'Додаток2 скор'!U10</f>
        <v>5803.776103138779</v>
      </c>
      <c r="V10" s="63">
        <f>'Додаток2 скор'!V10</f>
        <v>549.8311887894891</v>
      </c>
      <c r="W10" s="65">
        <v>13921.04</v>
      </c>
      <c r="X10" s="66">
        <v>227.09</v>
      </c>
      <c r="Y10" s="67">
        <v>8526.37</v>
      </c>
      <c r="Z10" s="66">
        <v>163.41</v>
      </c>
      <c r="AA10" s="67">
        <v>4277.88</v>
      </c>
      <c r="AB10" s="68">
        <v>591.28</v>
      </c>
      <c r="AC10" s="67">
        <v>1116.79</v>
      </c>
      <c r="AD10" s="68">
        <v>591.27</v>
      </c>
      <c r="AE10" s="27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</row>
    <row r="11" spans="1:110" s="35" customFormat="1" ht="16.5" customHeight="1">
      <c r="A11" s="29" t="s">
        <v>79</v>
      </c>
      <c r="B11" s="36" t="s">
        <v>80</v>
      </c>
      <c r="C11" s="62"/>
      <c r="D11" s="63">
        <f t="shared" si="0"/>
        <v>63225</v>
      </c>
      <c r="E11" s="63">
        <f>'Додаток2 скор'!E11</f>
        <v>298.3150965179681</v>
      </c>
      <c r="F11" s="63">
        <f t="shared" si="1"/>
        <v>54287.13590669442</v>
      </c>
      <c r="G11" s="63">
        <f>'Додаток2 скор'!G11</f>
        <v>256.14349051308176</v>
      </c>
      <c r="H11" s="63">
        <f>'Додаток2 скор'!H11</f>
        <v>26176.1</v>
      </c>
      <c r="I11" s="63">
        <f>'Додаток2 скор'!I11</f>
        <v>173.43357140604422</v>
      </c>
      <c r="J11" s="64">
        <f t="shared" si="2"/>
        <v>1</v>
      </c>
      <c r="K11" s="63">
        <f>'Додаток2 скор'!K11</f>
        <v>26176.1</v>
      </c>
      <c r="L11" s="63">
        <f>'Додаток2 скор'!L11</f>
        <v>173.43357140604422</v>
      </c>
      <c r="M11" s="63">
        <f>'Додаток2 скор'!M11</f>
        <v>30639.109</v>
      </c>
      <c r="N11" s="63">
        <f>'Додаток2 скор'!N11</f>
        <v>607.2430305241647</v>
      </c>
      <c r="O11" s="64">
        <f t="shared" si="3"/>
        <v>0.7280648991312262</v>
      </c>
      <c r="P11" s="63">
        <f>'Додаток2 скор'!P11</f>
        <v>22307.259803555644</v>
      </c>
      <c r="Q11" s="63">
        <f>'Додаток2 скор'!Q11</f>
        <v>442.1123357667161</v>
      </c>
      <c r="R11" s="63">
        <f>'Додаток2 скор'!R11</f>
        <v>6409.791</v>
      </c>
      <c r="S11" s="63">
        <f>'Додаток2 скор'!S11</f>
        <v>607.2431022134307</v>
      </c>
      <c r="T11" s="64">
        <f t="shared" si="4"/>
        <v>0.9054548117308004</v>
      </c>
      <c r="U11" s="63">
        <f>'Додаток2 скор'!U11</f>
        <v>5803.776103138779</v>
      </c>
      <c r="V11" s="63">
        <f>'Додаток2 скор'!V11</f>
        <v>549.8311887894891</v>
      </c>
      <c r="W11" s="65"/>
      <c r="X11" s="66"/>
      <c r="Y11" s="67"/>
      <c r="Z11" s="66"/>
      <c r="AA11" s="67"/>
      <c r="AB11" s="68"/>
      <c r="AC11" s="67"/>
      <c r="AD11" s="68"/>
      <c r="AE11" s="27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</row>
    <row r="12" spans="1:110" s="35" customFormat="1" ht="16.5" customHeight="1">
      <c r="A12" s="29" t="s">
        <v>81</v>
      </c>
      <c r="B12" s="36" t="s">
        <v>82</v>
      </c>
      <c r="C12" s="62"/>
      <c r="D12" s="63">
        <f t="shared" si="0"/>
        <v>0</v>
      </c>
      <c r="E12" s="63">
        <f>'Додаток2 скор'!E12</f>
        <v>0</v>
      </c>
      <c r="F12" s="63">
        <f t="shared" si="1"/>
        <v>0</v>
      </c>
      <c r="G12" s="63">
        <f>'Додаток2 скор'!G12</f>
        <v>0</v>
      </c>
      <c r="H12" s="63">
        <f>'Додаток2 скор'!H12</f>
        <v>0</v>
      </c>
      <c r="I12" s="63">
        <f>'Додаток2 скор'!I12</f>
        <v>0</v>
      </c>
      <c r="J12" s="64">
        <f t="shared" si="2"/>
        <v>0</v>
      </c>
      <c r="K12" s="63">
        <f>'Додаток2 скор'!K12</f>
        <v>0</v>
      </c>
      <c r="L12" s="63">
        <f>'Додаток2 скор'!L12</f>
        <v>0</v>
      </c>
      <c r="M12" s="63">
        <f>'Додаток2 скор'!M12</f>
        <v>0</v>
      </c>
      <c r="N12" s="63">
        <f>'Додаток2 скор'!N12</f>
        <v>0</v>
      </c>
      <c r="O12" s="64">
        <f t="shared" si="3"/>
        <v>0</v>
      </c>
      <c r="P12" s="63">
        <f>'Додаток2 скор'!P12</f>
        <v>0</v>
      </c>
      <c r="Q12" s="63">
        <f>'Додаток2 скор'!Q12</f>
        <v>0</v>
      </c>
      <c r="R12" s="63">
        <f>'Додаток2 скор'!R12</f>
        <v>0</v>
      </c>
      <c r="S12" s="63">
        <f>'Додаток2 скор'!S12</f>
        <v>0</v>
      </c>
      <c r="T12" s="64">
        <f t="shared" si="4"/>
        <v>0</v>
      </c>
      <c r="U12" s="63">
        <f>'Додаток2 скор'!U12</f>
        <v>0</v>
      </c>
      <c r="V12" s="63">
        <f>'Додаток2 скор'!V12</f>
        <v>0</v>
      </c>
      <c r="W12" s="65"/>
      <c r="X12" s="66"/>
      <c r="Y12" s="67"/>
      <c r="Z12" s="66"/>
      <c r="AA12" s="67"/>
      <c r="AB12" s="68"/>
      <c r="AC12" s="67"/>
      <c r="AD12" s="68"/>
      <c r="AE12" s="27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</row>
    <row r="13" spans="1:110" s="35" customFormat="1" ht="16.5" customHeight="1">
      <c r="A13" s="29" t="s">
        <v>15</v>
      </c>
      <c r="B13" s="36" t="s">
        <v>83</v>
      </c>
      <c r="C13" s="62" t="s">
        <v>77</v>
      </c>
      <c r="D13" s="63" t="e">
        <f t="shared" si="0"/>
        <v>#REF!</v>
      </c>
      <c r="E13" s="63" t="e">
        <f>'Додаток2 скор'!E13+#REF!</f>
        <v>#REF!</v>
      </c>
      <c r="F13" s="63" t="e">
        <f t="shared" si="1"/>
        <v>#REF!</v>
      </c>
      <c r="G13" s="63" t="e">
        <f>'Додаток2 скор'!G13+#REF!</f>
        <v>#REF!</v>
      </c>
      <c r="H13" s="63" t="e">
        <f>'Додаток2 скор'!H13+#REF!</f>
        <v>#REF!</v>
      </c>
      <c r="I13" s="63" t="e">
        <f>'Додаток2 скор'!I13+#REF!</f>
        <v>#REF!</v>
      </c>
      <c r="J13" s="64" t="e">
        <f t="shared" si="2"/>
        <v>#REF!</v>
      </c>
      <c r="K13" s="63" t="e">
        <f>'Додаток2 скор'!K13+#REF!</f>
        <v>#REF!</v>
      </c>
      <c r="L13" s="63" t="e">
        <f>'Додаток2 скор'!L13+#REF!</f>
        <v>#REF!</v>
      </c>
      <c r="M13" s="63" t="e">
        <f>'Додаток2 скор'!M13+#REF!</f>
        <v>#REF!</v>
      </c>
      <c r="N13" s="63" t="e">
        <f>'Додаток2 скор'!N13+#REF!</f>
        <v>#REF!</v>
      </c>
      <c r="O13" s="64" t="e">
        <f t="shared" si="3"/>
        <v>#REF!</v>
      </c>
      <c r="P13" s="63" t="e">
        <f>'Додаток2 скор'!P13+#REF!</f>
        <v>#REF!</v>
      </c>
      <c r="Q13" s="63" t="e">
        <f>'Додаток2 скор'!Q13+#REF!</f>
        <v>#REF!</v>
      </c>
      <c r="R13" s="63" t="e">
        <f>'Додаток2 скор'!R13+#REF!</f>
        <v>#REF!</v>
      </c>
      <c r="S13" s="63" t="e">
        <f>'Додаток2 скор'!S13+#REF!</f>
        <v>#REF!</v>
      </c>
      <c r="T13" s="64" t="e">
        <f t="shared" si="4"/>
        <v>#REF!</v>
      </c>
      <c r="U13" s="63" t="e">
        <f>'Додаток2 скор'!U13+#REF!</f>
        <v>#REF!</v>
      </c>
      <c r="V13" s="63" t="e">
        <f>'Додаток2 скор'!V13+#REF!</f>
        <v>#REF!</v>
      </c>
      <c r="W13" s="69">
        <v>1850</v>
      </c>
      <c r="X13" s="66">
        <v>30.18</v>
      </c>
      <c r="Y13" s="67">
        <v>1574.65</v>
      </c>
      <c r="Z13" s="66">
        <v>30.18</v>
      </c>
      <c r="AA13" s="67">
        <v>218.34</v>
      </c>
      <c r="AB13" s="68">
        <v>30.18</v>
      </c>
      <c r="AC13" s="67">
        <v>57</v>
      </c>
      <c r="AD13" s="68">
        <v>30.18</v>
      </c>
      <c r="AE13" s="27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</row>
    <row r="14" spans="1:110" s="35" customFormat="1" ht="21" customHeight="1">
      <c r="A14" s="29" t="s">
        <v>17</v>
      </c>
      <c r="B14" s="36" t="s">
        <v>84</v>
      </c>
      <c r="C14" s="62" t="s">
        <v>77</v>
      </c>
      <c r="D14" s="63">
        <f t="shared" si="0"/>
        <v>0</v>
      </c>
      <c r="E14" s="63">
        <f>'Додаток2 скор'!E14</f>
        <v>0</v>
      </c>
      <c r="F14" s="63">
        <f t="shared" si="1"/>
        <v>0</v>
      </c>
      <c r="G14" s="63">
        <f>'Додаток2 скор'!G14</f>
        <v>0</v>
      </c>
      <c r="H14" s="63">
        <f>'Додаток2 скор'!H14</f>
        <v>0</v>
      </c>
      <c r="I14" s="63">
        <f>'Додаток2 скор'!I14</f>
        <v>0</v>
      </c>
      <c r="J14" s="64">
        <f t="shared" si="2"/>
        <v>0</v>
      </c>
      <c r="K14" s="63">
        <f>'Додаток2 скор'!K14</f>
        <v>0</v>
      </c>
      <c r="L14" s="63">
        <f>'Додаток2 скор'!L14</f>
        <v>0</v>
      </c>
      <c r="M14" s="63">
        <f>'Додаток2 скор'!M14</f>
        <v>0</v>
      </c>
      <c r="N14" s="63">
        <f>'Додаток2 скор'!N14</f>
        <v>0</v>
      </c>
      <c r="O14" s="64">
        <f t="shared" si="3"/>
        <v>0</v>
      </c>
      <c r="P14" s="63">
        <f>'Додаток2 скор'!P14</f>
        <v>0</v>
      </c>
      <c r="Q14" s="63">
        <f>'Додаток2 скор'!Q14</f>
        <v>0</v>
      </c>
      <c r="R14" s="63">
        <f>'Додаток2 скор'!R14</f>
        <v>0</v>
      </c>
      <c r="S14" s="63">
        <f>'Додаток2 скор'!S14</f>
        <v>0</v>
      </c>
      <c r="T14" s="64">
        <f t="shared" si="4"/>
        <v>0</v>
      </c>
      <c r="U14" s="63">
        <f>'Додаток2 скор'!U14</f>
        <v>0</v>
      </c>
      <c r="V14" s="63">
        <f>'Додаток2 скор'!V14</f>
        <v>0</v>
      </c>
      <c r="W14" s="69">
        <v>0</v>
      </c>
      <c r="X14" s="66">
        <v>0</v>
      </c>
      <c r="Y14" s="67">
        <v>0</v>
      </c>
      <c r="Z14" s="66">
        <v>0</v>
      </c>
      <c r="AA14" s="67">
        <v>0</v>
      </c>
      <c r="AB14" s="68">
        <v>0</v>
      </c>
      <c r="AC14" s="67">
        <v>0</v>
      </c>
      <c r="AD14" s="68">
        <v>0</v>
      </c>
      <c r="AE14" s="27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</row>
    <row r="15" spans="1:110" s="35" customFormat="1" ht="15.75" customHeight="1">
      <c r="A15" s="29" t="s">
        <v>85</v>
      </c>
      <c r="B15" s="36"/>
      <c r="C15" s="62"/>
      <c r="D15" s="63">
        <f>H15+M15+R15</f>
        <v>0</v>
      </c>
      <c r="E15" s="63">
        <f>'Додаток2 скор'!E15</f>
        <v>0</v>
      </c>
      <c r="F15" s="63">
        <f t="shared" si="1"/>
        <v>0</v>
      </c>
      <c r="G15" s="63">
        <f>'Додаток2 скор'!G15</f>
        <v>0</v>
      </c>
      <c r="H15" s="63">
        <f>'Додаток2 скор'!H15</f>
        <v>0</v>
      </c>
      <c r="I15" s="63">
        <f>'Додаток2 скор'!I15</f>
        <v>0</v>
      </c>
      <c r="J15" s="64">
        <f t="shared" si="2"/>
        <v>0</v>
      </c>
      <c r="K15" s="63">
        <f>'Додаток2 скор'!K15</f>
        <v>0</v>
      </c>
      <c r="L15" s="63">
        <f>'Додаток2 скор'!L15</f>
        <v>0</v>
      </c>
      <c r="M15" s="63">
        <f>'Додаток2 скор'!M15</f>
        <v>0</v>
      </c>
      <c r="N15" s="63">
        <f>'Додаток2 скор'!N14</f>
        <v>0</v>
      </c>
      <c r="O15" s="64">
        <f t="shared" si="3"/>
        <v>0</v>
      </c>
      <c r="P15" s="63">
        <f>'Додаток2 скор'!P15</f>
        <v>0</v>
      </c>
      <c r="Q15" s="63">
        <f>'Додаток2 скор'!Q15</f>
        <v>0</v>
      </c>
      <c r="R15" s="63">
        <f>'Додаток2 скор'!R15</f>
        <v>0</v>
      </c>
      <c r="S15" s="63">
        <f>'Додаток2 скор'!S15</f>
        <v>0</v>
      </c>
      <c r="T15" s="64">
        <f t="shared" si="4"/>
        <v>0</v>
      </c>
      <c r="U15" s="63">
        <f>'Додаток2 скор'!U15</f>
        <v>0</v>
      </c>
      <c r="V15" s="63">
        <f>'Додаток2 скор'!V15</f>
        <v>0</v>
      </c>
      <c r="W15" s="69"/>
      <c r="X15" s="66"/>
      <c r="Y15" s="67"/>
      <c r="Z15" s="66"/>
      <c r="AA15" s="67"/>
      <c r="AB15" s="68"/>
      <c r="AC15" s="67"/>
      <c r="AD15" s="68"/>
      <c r="AE15" s="27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</row>
    <row r="16" spans="1:110" s="35" customFormat="1" ht="15.75" customHeight="1">
      <c r="A16" s="29" t="s">
        <v>86</v>
      </c>
      <c r="B16" s="70"/>
      <c r="C16" s="62"/>
      <c r="D16" s="63">
        <f t="shared" si="0"/>
        <v>0</v>
      </c>
      <c r="E16" s="63">
        <f>'Додаток2 скор'!E16</f>
        <v>0</v>
      </c>
      <c r="F16" s="63">
        <f t="shared" si="1"/>
        <v>0</v>
      </c>
      <c r="G16" s="63">
        <f>'Додаток2 скор'!G16</f>
        <v>0</v>
      </c>
      <c r="H16" s="63">
        <f>'Додаток2 скор'!H16</f>
        <v>0</v>
      </c>
      <c r="I16" s="63">
        <f>'Додаток2 скор'!I16</f>
        <v>0</v>
      </c>
      <c r="J16" s="64">
        <f t="shared" si="2"/>
        <v>0</v>
      </c>
      <c r="K16" s="63">
        <f>'Додаток2 скор'!K16</f>
        <v>0</v>
      </c>
      <c r="L16" s="63">
        <f>'Додаток2 скор'!L16</f>
        <v>0</v>
      </c>
      <c r="M16" s="63">
        <f>'Додаток2 скор'!M16</f>
        <v>0</v>
      </c>
      <c r="N16" s="63">
        <f>'Додаток2 скор'!N16</f>
        <v>0</v>
      </c>
      <c r="O16" s="64">
        <f t="shared" si="3"/>
        <v>0</v>
      </c>
      <c r="P16" s="63">
        <f>'Додаток2 скор'!P16</f>
        <v>0</v>
      </c>
      <c r="Q16" s="63">
        <f>'Додаток2 скор'!Q16</f>
        <v>0</v>
      </c>
      <c r="R16" s="63">
        <f>'Додаток2 скор'!R16</f>
        <v>0</v>
      </c>
      <c r="S16" s="63">
        <f>'Додаток2 скор'!S16</f>
        <v>0</v>
      </c>
      <c r="T16" s="64">
        <f t="shared" si="4"/>
        <v>0</v>
      </c>
      <c r="U16" s="63">
        <f>'Додаток2 скор'!U16</f>
        <v>0</v>
      </c>
      <c r="V16" s="63">
        <f>'Додаток2 скор'!V16</f>
        <v>0</v>
      </c>
      <c r="W16" s="69"/>
      <c r="X16" s="66"/>
      <c r="Y16" s="67"/>
      <c r="Z16" s="66"/>
      <c r="AA16" s="67"/>
      <c r="AB16" s="68"/>
      <c r="AC16" s="67"/>
      <c r="AD16" s="68"/>
      <c r="AE16" s="27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</row>
    <row r="17" spans="1:110" s="35" customFormat="1" ht="15.75" customHeight="1">
      <c r="A17" s="29" t="s">
        <v>19</v>
      </c>
      <c r="B17" s="36" t="s">
        <v>87</v>
      </c>
      <c r="C17" s="62"/>
      <c r="D17" s="63">
        <f t="shared" si="0"/>
        <v>0</v>
      </c>
      <c r="E17" s="63">
        <f>'Додаток2 скор'!E17</f>
        <v>0</v>
      </c>
      <c r="F17" s="63">
        <f t="shared" si="1"/>
        <v>0</v>
      </c>
      <c r="G17" s="63">
        <f>'Додаток2 скор'!G17</f>
        <v>0</v>
      </c>
      <c r="H17" s="63">
        <f>'Додаток2 скор'!H17</f>
        <v>0</v>
      </c>
      <c r="I17" s="63">
        <f>'Додаток2 скор'!I17</f>
        <v>0</v>
      </c>
      <c r="J17" s="64">
        <f t="shared" si="2"/>
        <v>0</v>
      </c>
      <c r="K17" s="63">
        <f>'Додаток2 скор'!K17</f>
        <v>0</v>
      </c>
      <c r="L17" s="63">
        <f>'Додаток2 скор'!L17</f>
        <v>0</v>
      </c>
      <c r="M17" s="63">
        <f>'Додаток2 скор'!M17</f>
        <v>0</v>
      </c>
      <c r="N17" s="63">
        <f>'Додаток2 скор'!N17</f>
        <v>0</v>
      </c>
      <c r="O17" s="64">
        <f t="shared" si="3"/>
        <v>0</v>
      </c>
      <c r="P17" s="63">
        <f>'Додаток2 скор'!P17</f>
        <v>0</v>
      </c>
      <c r="Q17" s="63">
        <f>'Додаток2 скор'!Q17</f>
        <v>0</v>
      </c>
      <c r="R17" s="63">
        <f>'Додаток2 скор'!R17</f>
        <v>0</v>
      </c>
      <c r="S17" s="63">
        <f>'Додаток2 скор'!S17</f>
        <v>0</v>
      </c>
      <c r="T17" s="64">
        <f t="shared" si="4"/>
        <v>0</v>
      </c>
      <c r="U17" s="63">
        <f>'Додаток2 скор'!U17</f>
        <v>0</v>
      </c>
      <c r="V17" s="63">
        <f>'Додаток2 скор'!V17</f>
        <v>0</v>
      </c>
      <c r="W17" s="69"/>
      <c r="X17" s="66"/>
      <c r="Y17" s="67"/>
      <c r="Z17" s="66"/>
      <c r="AA17" s="67"/>
      <c r="AB17" s="68"/>
      <c r="AC17" s="67"/>
      <c r="AD17" s="68"/>
      <c r="AE17" s="27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</row>
    <row r="18" spans="1:110" s="35" customFormat="1" ht="15.75" customHeight="1">
      <c r="A18" s="29" t="s">
        <v>88</v>
      </c>
      <c r="B18" s="36"/>
      <c r="C18" s="62"/>
      <c r="D18" s="63">
        <f t="shared" si="0"/>
        <v>0</v>
      </c>
      <c r="E18" s="63">
        <f>'Додаток2 скор'!E18</f>
        <v>0</v>
      </c>
      <c r="F18" s="63">
        <f t="shared" si="1"/>
        <v>0</v>
      </c>
      <c r="G18" s="63">
        <f>'Додаток2 скор'!G18</f>
        <v>0</v>
      </c>
      <c r="H18" s="63">
        <f>'Додаток2 скор'!H18</f>
        <v>0</v>
      </c>
      <c r="I18" s="63">
        <f>'Додаток2 скор'!I18</f>
        <v>0</v>
      </c>
      <c r="J18" s="64">
        <f t="shared" si="2"/>
        <v>0</v>
      </c>
      <c r="K18" s="63">
        <f>'Додаток2 скор'!K18</f>
        <v>0</v>
      </c>
      <c r="L18" s="63">
        <f>'Додаток2 скор'!L18</f>
        <v>0</v>
      </c>
      <c r="M18" s="63">
        <f>'Додаток2 скор'!M18</f>
        <v>0</v>
      </c>
      <c r="N18" s="63">
        <f>'Додаток2 скор'!N18</f>
        <v>0</v>
      </c>
      <c r="O18" s="64">
        <f t="shared" si="3"/>
        <v>0</v>
      </c>
      <c r="P18" s="63">
        <f>'Додаток2 скор'!P18</f>
        <v>0</v>
      </c>
      <c r="Q18" s="63">
        <f>'Додаток2 скор'!Q18</f>
        <v>0</v>
      </c>
      <c r="R18" s="63">
        <f>'Додаток2 скор'!R18</f>
        <v>0</v>
      </c>
      <c r="S18" s="63">
        <f>'Додаток2 скор'!S18</f>
        <v>0</v>
      </c>
      <c r="T18" s="64">
        <f t="shared" si="4"/>
        <v>0</v>
      </c>
      <c r="U18" s="63">
        <f>'Додаток2 скор'!U18</f>
        <v>0</v>
      </c>
      <c r="V18" s="63">
        <f>'Додаток2 скор'!V18</f>
        <v>0</v>
      </c>
      <c r="W18" s="69"/>
      <c r="X18" s="66"/>
      <c r="Y18" s="67"/>
      <c r="Z18" s="66"/>
      <c r="AA18" s="67"/>
      <c r="AB18" s="68"/>
      <c r="AC18" s="67"/>
      <c r="AD18" s="68"/>
      <c r="AE18" s="27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</row>
    <row r="19" spans="1:110" s="35" customFormat="1" ht="15.75" customHeight="1">
      <c r="A19" s="29" t="s">
        <v>89</v>
      </c>
      <c r="B19" s="36"/>
      <c r="C19" s="62"/>
      <c r="D19" s="63">
        <f t="shared" si="0"/>
        <v>0</v>
      </c>
      <c r="E19" s="63">
        <f>'Додаток2 скор'!E19</f>
        <v>0</v>
      </c>
      <c r="F19" s="63">
        <f t="shared" si="1"/>
        <v>0</v>
      </c>
      <c r="G19" s="63">
        <f>'Додаток2 скор'!G19</f>
        <v>0</v>
      </c>
      <c r="H19" s="63">
        <f>'Додаток2 скор'!H19</f>
        <v>0</v>
      </c>
      <c r="I19" s="63">
        <f>'Додаток2 скор'!I19</f>
        <v>0</v>
      </c>
      <c r="J19" s="64">
        <f t="shared" si="2"/>
        <v>0</v>
      </c>
      <c r="K19" s="63">
        <f>'Додаток2 скор'!K19</f>
        <v>0</v>
      </c>
      <c r="L19" s="63">
        <f>'Додаток2 скор'!L19</f>
        <v>0</v>
      </c>
      <c r="M19" s="63">
        <f>'Додаток2 скор'!M19</f>
        <v>0</v>
      </c>
      <c r="N19" s="63">
        <f>'Додаток2 скор'!N19</f>
        <v>0</v>
      </c>
      <c r="O19" s="64">
        <f t="shared" si="3"/>
        <v>0</v>
      </c>
      <c r="P19" s="63">
        <f>'Додаток2 скор'!P19</f>
        <v>0</v>
      </c>
      <c r="Q19" s="63">
        <f>'Додаток2 скор'!Q19</f>
        <v>0</v>
      </c>
      <c r="R19" s="63">
        <f>'Додаток2 скор'!R19</f>
        <v>0</v>
      </c>
      <c r="S19" s="63">
        <f>'Додаток2 скор'!S19</f>
        <v>0</v>
      </c>
      <c r="T19" s="64">
        <f t="shared" si="4"/>
        <v>0</v>
      </c>
      <c r="U19" s="63">
        <f>'Додаток2 скор'!U19</f>
        <v>0</v>
      </c>
      <c r="V19" s="63">
        <f>'Додаток2 скор'!V19</f>
        <v>0</v>
      </c>
      <c r="W19" s="69"/>
      <c r="X19" s="66"/>
      <c r="Y19" s="67"/>
      <c r="Z19" s="66"/>
      <c r="AA19" s="67"/>
      <c r="AB19" s="68"/>
      <c r="AC19" s="67"/>
      <c r="AD19" s="68"/>
      <c r="AE19" s="27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</row>
    <row r="20" spans="1:110" s="77" customFormat="1" ht="15.75">
      <c r="A20" s="29" t="s">
        <v>90</v>
      </c>
      <c r="B20" s="36" t="e">
        <f>#REF!</f>
        <v>#REF!</v>
      </c>
      <c r="C20" s="62"/>
      <c r="D20" s="63" t="e">
        <f>H20+M20+R20</f>
        <v>#REF!</v>
      </c>
      <c r="E20" s="63" t="e">
        <f>#REF!</f>
        <v>#REF!</v>
      </c>
      <c r="F20" s="63" t="e">
        <f>H20+P20+U20</f>
        <v>#REF!</v>
      </c>
      <c r="G20" s="63" t="e">
        <f>F20/F51*1000</f>
        <v>#REF!</v>
      </c>
      <c r="H20" s="63" t="e">
        <f>#REF!</f>
        <v>#REF!</v>
      </c>
      <c r="I20" s="63" t="e">
        <f>#REF!</f>
        <v>#REF!</v>
      </c>
      <c r="J20" s="64" t="e">
        <f t="shared" si="2"/>
        <v>#REF!</v>
      </c>
      <c r="K20" s="63" t="e">
        <f>#REF!</f>
        <v>#REF!</v>
      </c>
      <c r="L20" s="63" t="e">
        <f>#REF!</f>
        <v>#REF!</v>
      </c>
      <c r="M20" s="63" t="e">
        <f>#REF!</f>
        <v>#REF!</v>
      </c>
      <c r="N20" s="63" t="e">
        <f>#REF!</f>
        <v>#REF!</v>
      </c>
      <c r="O20" s="64" t="e">
        <f t="shared" si="3"/>
        <v>#REF!</v>
      </c>
      <c r="P20" s="63" t="e">
        <f>#REF!</f>
        <v>#REF!</v>
      </c>
      <c r="Q20" s="63" t="e">
        <f>#REF!</f>
        <v>#REF!</v>
      </c>
      <c r="R20" s="63" t="e">
        <f>#REF!</f>
        <v>#REF!</v>
      </c>
      <c r="S20" s="63" t="e">
        <f>#REF!</f>
        <v>#REF!</v>
      </c>
      <c r="T20" s="64" t="e">
        <f t="shared" si="4"/>
        <v>#REF!</v>
      </c>
      <c r="U20" s="63" t="e">
        <f>#REF!</f>
        <v>#REF!</v>
      </c>
      <c r="V20" s="63" t="e">
        <f>#REF!</f>
        <v>#REF!</v>
      </c>
      <c r="W20" s="71"/>
      <c r="X20" s="72"/>
      <c r="Y20" s="73"/>
      <c r="Z20" s="72"/>
      <c r="AA20" s="73"/>
      <c r="AB20" s="74"/>
      <c r="AC20" s="73"/>
      <c r="AD20" s="74"/>
      <c r="AE20" s="75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</row>
    <row r="21" spans="1:110" s="35" customFormat="1" ht="17.25" customHeight="1">
      <c r="A21" s="29" t="s">
        <v>21</v>
      </c>
      <c r="B21" s="36" t="s">
        <v>22</v>
      </c>
      <c r="C21" s="62" t="s">
        <v>77</v>
      </c>
      <c r="D21" s="63" t="e">
        <f t="shared" si="0"/>
        <v>#REF!</v>
      </c>
      <c r="E21" s="63" t="e">
        <f>'Додаток2 скор'!E20+#REF!</f>
        <v>#REF!</v>
      </c>
      <c r="F21" s="63" t="e">
        <f t="shared" si="1"/>
        <v>#REF!</v>
      </c>
      <c r="G21" s="63" t="e">
        <f>'Додаток2 скор'!G20+#REF!</f>
        <v>#REF!</v>
      </c>
      <c r="H21" s="63" t="e">
        <f>'Додаток2 скор'!H20+#REF!</f>
        <v>#REF!</v>
      </c>
      <c r="I21" s="63" t="e">
        <f>'Додаток2 скор'!I20+#REF!</f>
        <v>#REF!</v>
      </c>
      <c r="J21" s="64" t="e">
        <f t="shared" si="2"/>
        <v>#REF!</v>
      </c>
      <c r="K21" s="63" t="e">
        <f>'Додаток2 скор'!K20+#REF!</f>
        <v>#REF!</v>
      </c>
      <c r="L21" s="63" t="e">
        <f>'Додаток2 скор'!L20+#REF!</f>
        <v>#REF!</v>
      </c>
      <c r="M21" s="63" t="e">
        <f>'Додаток2 скор'!M20+#REF!</f>
        <v>#REF!</v>
      </c>
      <c r="N21" s="63" t="e">
        <f>'Додаток2 скор'!N20+#REF!</f>
        <v>#REF!</v>
      </c>
      <c r="O21" s="64" t="e">
        <f t="shared" si="3"/>
        <v>#REF!</v>
      </c>
      <c r="P21" s="63" t="e">
        <f>'Додаток2 скор'!P20+#REF!</f>
        <v>#REF!</v>
      </c>
      <c r="Q21" s="63" t="e">
        <f>'Додаток2 скор'!Q20+#REF!</f>
        <v>#REF!</v>
      </c>
      <c r="R21" s="63" t="e">
        <f>'Додаток2 скор'!R20+#REF!</f>
        <v>#REF!</v>
      </c>
      <c r="S21" s="63" t="e">
        <f>'Додаток2 скор'!S20+#REF!</f>
        <v>#REF!</v>
      </c>
      <c r="T21" s="64" t="e">
        <f t="shared" si="4"/>
        <v>#REF!</v>
      </c>
      <c r="U21" s="63" t="e">
        <f>'Додаток2 скор'!U20+#REF!</f>
        <v>#REF!</v>
      </c>
      <c r="V21" s="63" t="e">
        <f>'Додаток2 скор'!V20+#REF!</f>
        <v>#REF!</v>
      </c>
      <c r="W21" s="69">
        <v>28.12</v>
      </c>
      <c r="X21" s="66">
        <v>0.46</v>
      </c>
      <c r="Y21" s="67">
        <v>23.93</v>
      </c>
      <c r="Z21" s="66">
        <v>0.46</v>
      </c>
      <c r="AA21" s="67">
        <v>3.32</v>
      </c>
      <c r="AB21" s="68">
        <v>0.46</v>
      </c>
      <c r="AC21" s="67">
        <v>0.87</v>
      </c>
      <c r="AD21" s="68">
        <v>0.46</v>
      </c>
      <c r="AE21" s="27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</row>
    <row r="22" spans="1:110" s="35" customFormat="1" ht="17.25" customHeight="1">
      <c r="A22" s="29" t="s">
        <v>23</v>
      </c>
      <c r="B22" s="36" t="s">
        <v>24</v>
      </c>
      <c r="C22" s="62" t="s">
        <v>77</v>
      </c>
      <c r="D22" s="63" t="e">
        <f t="shared" si="0"/>
        <v>#REF!</v>
      </c>
      <c r="E22" s="63" t="e">
        <f>'Додаток2 скор'!E21+#REF!+#REF!</f>
        <v>#REF!</v>
      </c>
      <c r="F22" s="63" t="e">
        <f t="shared" si="1"/>
        <v>#REF!</v>
      </c>
      <c r="G22" s="63" t="e">
        <f>'Додаток2 скор'!G21+#REF!+#REF!</f>
        <v>#REF!</v>
      </c>
      <c r="H22" s="63" t="e">
        <f>'Додаток2 скор'!H21+#REF!+#REF!</f>
        <v>#REF!</v>
      </c>
      <c r="I22" s="63" t="e">
        <f>'Додаток2 скор'!I21+#REF!+#REF!</f>
        <v>#REF!</v>
      </c>
      <c r="J22" s="64" t="e">
        <f t="shared" si="2"/>
        <v>#REF!</v>
      </c>
      <c r="K22" s="63" t="e">
        <f>'Додаток2 скор'!K21+#REF!+#REF!</f>
        <v>#REF!</v>
      </c>
      <c r="L22" s="63" t="e">
        <f>'Додаток2 скор'!L21+#REF!+#REF!</f>
        <v>#REF!</v>
      </c>
      <c r="M22" s="63" t="e">
        <f>'Додаток2 скор'!M21+#REF!+#REF!</f>
        <v>#REF!</v>
      </c>
      <c r="N22" s="63" t="e">
        <f>'Додаток2 скор'!N21+#REF!+#REF!</f>
        <v>#REF!</v>
      </c>
      <c r="O22" s="64" t="e">
        <f t="shared" si="3"/>
        <v>#REF!</v>
      </c>
      <c r="P22" s="63" t="e">
        <f>'Додаток2 скор'!P21+#REF!+#REF!</f>
        <v>#REF!</v>
      </c>
      <c r="Q22" s="63" t="e">
        <f>'Додаток2 скор'!Q21+#REF!+#REF!</f>
        <v>#REF!</v>
      </c>
      <c r="R22" s="63" t="e">
        <f>'Додаток2 скор'!R21+#REF!+#REF!</f>
        <v>#REF!</v>
      </c>
      <c r="S22" s="63" t="e">
        <f>'Додаток2 скор'!S21+#REF!+#REF!</f>
        <v>#REF!</v>
      </c>
      <c r="T22" s="64" t="e">
        <f aca="true" t="shared" si="5" ref="T22:T47">IF(R22=0,0,1)</f>
        <v>#REF!</v>
      </c>
      <c r="U22" s="63" t="e">
        <f>'Додаток2 скор'!U21+#REF!+#REF!</f>
        <v>#REF!</v>
      </c>
      <c r="V22" s="63" t="e">
        <f>'Додаток2 скор'!V21+#REF!+#REF!</f>
        <v>#REF!</v>
      </c>
      <c r="W22" s="69">
        <v>217.51</v>
      </c>
      <c r="X22" s="66">
        <v>3.55</v>
      </c>
      <c r="Y22" s="67">
        <v>185.14</v>
      </c>
      <c r="Z22" s="66">
        <v>3.55</v>
      </c>
      <c r="AA22" s="67">
        <v>25.67</v>
      </c>
      <c r="AB22" s="68">
        <v>3.55</v>
      </c>
      <c r="AC22" s="67">
        <v>6.7</v>
      </c>
      <c r="AD22" s="68">
        <v>3.55</v>
      </c>
      <c r="AE22" s="27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</row>
    <row r="23" spans="1:31" s="28" customFormat="1" ht="16.5" customHeight="1">
      <c r="A23" s="11" t="s">
        <v>25</v>
      </c>
      <c r="B23" s="55" t="s">
        <v>91</v>
      </c>
      <c r="C23" s="56" t="s">
        <v>77</v>
      </c>
      <c r="D23" s="57" t="e">
        <f t="shared" si="0"/>
        <v>#REF!</v>
      </c>
      <c r="E23" s="57" t="e">
        <f>'Додаток2 скор'!E22+#REF!+#REF!</f>
        <v>#REF!</v>
      </c>
      <c r="F23" s="57" t="e">
        <f t="shared" si="1"/>
        <v>#REF!</v>
      </c>
      <c r="G23" s="57" t="e">
        <f>'Додаток2 скор'!G22+#REF!+#REF!</f>
        <v>#REF!</v>
      </c>
      <c r="H23" s="57" t="e">
        <f>'Додаток2 скор'!H22+#REF!+#REF!</f>
        <v>#REF!</v>
      </c>
      <c r="I23" s="57" t="e">
        <f>'Додаток2 скор'!I22+#REF!+#REF!</f>
        <v>#REF!</v>
      </c>
      <c r="J23" s="58" t="e">
        <f t="shared" si="2"/>
        <v>#REF!</v>
      </c>
      <c r="K23" s="63" t="e">
        <f>'Додаток2 скор'!K22+#REF!+#REF!</f>
        <v>#REF!</v>
      </c>
      <c r="L23" s="63" t="e">
        <f>'Додаток2 скор'!L22+#REF!+#REF!</f>
        <v>#REF!</v>
      </c>
      <c r="M23" s="57" t="e">
        <f>'Додаток2 скор'!M22+#REF!+#REF!</f>
        <v>#REF!</v>
      </c>
      <c r="N23" s="57" t="e">
        <f>'Додаток2 скор'!N22+#REF!+#REF!</f>
        <v>#REF!</v>
      </c>
      <c r="O23" s="58" t="e">
        <f aca="true" t="shared" si="6" ref="O23:O47">IF(M23=0,0,1)</f>
        <v>#REF!</v>
      </c>
      <c r="P23" s="57" t="e">
        <f>'Додаток2 скор'!P22+#REF!+#REF!</f>
        <v>#REF!</v>
      </c>
      <c r="Q23" s="57" t="e">
        <f>'Додаток2 скор'!Q22+#REF!+#REF!</f>
        <v>#REF!</v>
      </c>
      <c r="R23" s="57" t="e">
        <f>'Додаток2 скор'!R22+#REF!+#REF!</f>
        <v>#REF!</v>
      </c>
      <c r="S23" s="57" t="e">
        <f>'Додаток2 скор'!S22+#REF!+#REF!</f>
        <v>#REF!</v>
      </c>
      <c r="T23" s="58" t="e">
        <f t="shared" si="5"/>
        <v>#REF!</v>
      </c>
      <c r="U23" s="57" t="e">
        <f>'Додаток2 скор'!U22+#REF!+#REF!</f>
        <v>#REF!</v>
      </c>
      <c r="V23" s="63" t="e">
        <f>'Додаток2 скор'!V22+#REF!+#REF!</f>
        <v>#REF!</v>
      </c>
      <c r="W23" s="78">
        <v>1270.24</v>
      </c>
      <c r="X23" s="60">
        <v>20.72</v>
      </c>
      <c r="Y23" s="61">
        <v>1081.18</v>
      </c>
      <c r="Z23" s="60">
        <v>20.72</v>
      </c>
      <c r="AA23" s="61">
        <v>149.92</v>
      </c>
      <c r="AB23" s="60">
        <v>20.72</v>
      </c>
      <c r="AC23" s="61">
        <v>39.14</v>
      </c>
      <c r="AD23" s="60">
        <v>20.72</v>
      </c>
      <c r="AE23" s="27"/>
    </row>
    <row r="24" spans="1:31" s="28" customFormat="1" ht="16.5" customHeight="1">
      <c r="A24" s="11" t="s">
        <v>26</v>
      </c>
      <c r="B24" s="55" t="s">
        <v>27</v>
      </c>
      <c r="C24" s="56"/>
      <c r="D24" s="57" t="e">
        <f t="shared" si="0"/>
        <v>#REF!</v>
      </c>
      <c r="E24" s="57" t="e">
        <f>'Додаток2 скор'!E23+#REF!+#REF!</f>
        <v>#REF!</v>
      </c>
      <c r="F24" s="57" t="e">
        <f t="shared" si="1"/>
        <v>#REF!</v>
      </c>
      <c r="G24" s="57" t="e">
        <f>'Додаток2 скор'!G23+#REF!+#REF!</f>
        <v>#REF!</v>
      </c>
      <c r="H24" s="57" t="e">
        <f>SUM(H25:H27)</f>
        <v>#REF!</v>
      </c>
      <c r="I24" s="57" t="e">
        <f>'Додаток2 скор'!I23+#REF!+#REF!</f>
        <v>#REF!</v>
      </c>
      <c r="J24" s="58" t="e">
        <f t="shared" si="2"/>
        <v>#REF!</v>
      </c>
      <c r="K24" s="63" t="e">
        <f>'Додаток2 скор'!K23+#REF!+#REF!</f>
        <v>#REF!</v>
      </c>
      <c r="L24" s="63" t="e">
        <f>'Додаток2 скор'!L23+#REF!+#REF!</f>
        <v>#REF!</v>
      </c>
      <c r="M24" s="57" t="e">
        <f>SUM(M25:M27)</f>
        <v>#REF!</v>
      </c>
      <c r="N24" s="57" t="e">
        <f>'Додаток2 скор'!N23+#REF!+#REF!</f>
        <v>#REF!</v>
      </c>
      <c r="O24" s="58" t="e">
        <f t="shared" si="6"/>
        <v>#REF!</v>
      </c>
      <c r="P24" s="57" t="e">
        <f>SUM(P25:P27)</f>
        <v>#REF!</v>
      </c>
      <c r="Q24" s="57" t="e">
        <f>'Додаток2 скор'!Q23+#REF!+#REF!</f>
        <v>#REF!</v>
      </c>
      <c r="R24" s="57" t="e">
        <f>SUM(R25:R27)</f>
        <v>#REF!</v>
      </c>
      <c r="S24" s="57" t="e">
        <f>'Додаток2 скор'!S23+#REF!+#REF!</f>
        <v>#REF!</v>
      </c>
      <c r="T24" s="58" t="e">
        <f t="shared" si="5"/>
        <v>#REF!</v>
      </c>
      <c r="U24" s="57" t="e">
        <f>SUM(U25:U27)</f>
        <v>#REF!</v>
      </c>
      <c r="V24" s="57" t="e">
        <f>'Додаток2 скор'!V23+#REF!+#REF!</f>
        <v>#REF!</v>
      </c>
      <c r="W24" s="78">
        <v>1176.43</v>
      </c>
      <c r="X24" s="60">
        <v>19.19</v>
      </c>
      <c r="Y24" s="61">
        <v>1001.34</v>
      </c>
      <c r="Z24" s="60">
        <v>19.19</v>
      </c>
      <c r="AA24" s="61">
        <v>138.85</v>
      </c>
      <c r="AB24" s="60">
        <v>19.19</v>
      </c>
      <c r="AC24" s="61">
        <v>36.25</v>
      </c>
      <c r="AD24" s="60">
        <v>19.19</v>
      </c>
      <c r="AE24" s="27"/>
    </row>
    <row r="25" spans="1:110" s="35" customFormat="1" ht="16.5" customHeight="1">
      <c r="A25" s="29" t="s">
        <v>28</v>
      </c>
      <c r="B25" s="36" t="s">
        <v>44</v>
      </c>
      <c r="C25" s="62" t="s">
        <v>77</v>
      </c>
      <c r="D25" s="63" t="e">
        <f t="shared" si="0"/>
        <v>#REF!</v>
      </c>
      <c r="E25" s="63" t="e">
        <f>'Додаток2 скор'!E24+#REF!+#REF!</f>
        <v>#REF!</v>
      </c>
      <c r="F25" s="63" t="e">
        <f t="shared" si="1"/>
        <v>#REF!</v>
      </c>
      <c r="G25" s="63" t="e">
        <f>'Додаток2 скор'!G24+#REF!+#REF!</f>
        <v>#REF!</v>
      </c>
      <c r="H25" s="63" t="e">
        <f>'Додаток2 скор'!H24+#REF!+#REF!</f>
        <v>#REF!</v>
      </c>
      <c r="I25" s="63" t="e">
        <f>'Додаток2 скор'!I24+#REF!+#REF!</f>
        <v>#REF!</v>
      </c>
      <c r="J25" s="64" t="e">
        <f t="shared" si="2"/>
        <v>#REF!</v>
      </c>
      <c r="K25" s="63" t="e">
        <f>'Додаток2 скор'!K24+#REF!+#REF!</f>
        <v>#REF!</v>
      </c>
      <c r="L25" s="63" t="e">
        <f>'Додаток2 скор'!L24+#REF!+#REF!</f>
        <v>#REF!</v>
      </c>
      <c r="M25" s="63" t="e">
        <f>'Додаток2 скор'!M24+#REF!+#REF!</f>
        <v>#REF!</v>
      </c>
      <c r="N25" s="63" t="e">
        <f>'Додаток2 скор'!N24+#REF!+#REF!</f>
        <v>#REF!</v>
      </c>
      <c r="O25" s="64" t="e">
        <f t="shared" si="6"/>
        <v>#REF!</v>
      </c>
      <c r="P25" s="63" t="e">
        <f>'Додаток2 скор'!P24+#REF!+#REF!</f>
        <v>#REF!</v>
      </c>
      <c r="Q25" s="63" t="e">
        <f>'Додаток2 скор'!Q24+#REF!+#REF!</f>
        <v>#REF!</v>
      </c>
      <c r="R25" s="63" t="e">
        <f>'Додаток2 скор'!R24+#REF!+#REF!</f>
        <v>#REF!</v>
      </c>
      <c r="S25" s="63" t="e">
        <f>'Додаток2 скор'!S24+#REF!+#REF!</f>
        <v>#REF!</v>
      </c>
      <c r="T25" s="64" t="e">
        <f t="shared" si="5"/>
        <v>#REF!</v>
      </c>
      <c r="U25" s="63" t="e">
        <f>'Додаток2 скор'!U24+#REF!+#REF!</f>
        <v>#REF!</v>
      </c>
      <c r="V25" s="63" t="e">
        <f>'Додаток2 скор'!V24+#REF!+#REF!</f>
        <v>#REF!</v>
      </c>
      <c r="W25" s="69">
        <v>470.75</v>
      </c>
      <c r="X25" s="66">
        <v>7.68</v>
      </c>
      <c r="Y25" s="65">
        <v>400.69</v>
      </c>
      <c r="Z25" s="66">
        <v>7.68</v>
      </c>
      <c r="AA25" s="65">
        <v>55.56</v>
      </c>
      <c r="AB25" s="68">
        <v>7.68</v>
      </c>
      <c r="AC25" s="65">
        <v>14.5</v>
      </c>
      <c r="AD25" s="68">
        <v>7.68</v>
      </c>
      <c r="AE25" s="27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</row>
    <row r="26" spans="1:110" s="35" customFormat="1" ht="16.5" customHeight="1">
      <c r="A26" s="29" t="s">
        <v>30</v>
      </c>
      <c r="B26" s="36" t="s">
        <v>29</v>
      </c>
      <c r="C26" s="62" t="s">
        <v>77</v>
      </c>
      <c r="D26" s="63" t="e">
        <f t="shared" si="0"/>
        <v>#REF!</v>
      </c>
      <c r="E26" s="63" t="e">
        <f>'Додаток2 скор'!E25+#REF!+#REF!</f>
        <v>#REF!</v>
      </c>
      <c r="F26" s="63" t="e">
        <f t="shared" si="1"/>
        <v>#REF!</v>
      </c>
      <c r="G26" s="63" t="e">
        <f>'Додаток2 скор'!G25+#REF!+#REF!</f>
        <v>#REF!</v>
      </c>
      <c r="H26" s="63" t="e">
        <f>'Додаток2 скор'!H25+#REF!+#REF!</f>
        <v>#REF!</v>
      </c>
      <c r="I26" s="63" t="e">
        <f>'Додаток2 скор'!I25+#REF!+#REF!</f>
        <v>#REF!</v>
      </c>
      <c r="J26" s="64" t="e">
        <f t="shared" si="2"/>
        <v>#REF!</v>
      </c>
      <c r="K26" s="63" t="e">
        <f>'Додаток2 скор'!K25+#REF!+#REF!</f>
        <v>#REF!</v>
      </c>
      <c r="L26" s="63" t="e">
        <f>'Додаток2 скор'!L25+#REF!+#REF!</f>
        <v>#REF!</v>
      </c>
      <c r="M26" s="63" t="e">
        <f>'Додаток2 скор'!M25+#REF!+#REF!</f>
        <v>#REF!</v>
      </c>
      <c r="N26" s="63" t="e">
        <f>'Додаток2 скор'!N25+#REF!+#REF!</f>
        <v>#REF!</v>
      </c>
      <c r="O26" s="64" t="e">
        <f t="shared" si="6"/>
        <v>#REF!</v>
      </c>
      <c r="P26" s="63" t="e">
        <f>'Додаток2 скор'!P25+#REF!+#REF!</f>
        <v>#REF!</v>
      </c>
      <c r="Q26" s="63" t="e">
        <f>'Додаток2 скор'!Q25+#REF!+#REF!</f>
        <v>#REF!</v>
      </c>
      <c r="R26" s="63" t="e">
        <f>'Додаток2 скор'!R25+#REF!+#REF!</f>
        <v>#REF!</v>
      </c>
      <c r="S26" s="63" t="e">
        <f>'Додаток2 скор'!S25+#REF!+#REF!</f>
        <v>#REF!</v>
      </c>
      <c r="T26" s="64" t="e">
        <f t="shared" si="5"/>
        <v>#REF!</v>
      </c>
      <c r="U26" s="63" t="e">
        <f>'Додаток2 скор'!U25+#REF!+#REF!</f>
        <v>#REF!</v>
      </c>
      <c r="V26" s="63" t="e">
        <f>'Додаток2 скор'!V25+#REF!+#REF!</f>
        <v>#REF!</v>
      </c>
      <c r="W26" s="69">
        <v>455.67</v>
      </c>
      <c r="X26" s="66">
        <v>7.43</v>
      </c>
      <c r="Y26" s="65">
        <v>387.85</v>
      </c>
      <c r="Z26" s="66">
        <v>7.43</v>
      </c>
      <c r="AA26" s="65">
        <v>53.78</v>
      </c>
      <c r="AB26" s="68">
        <v>7.43</v>
      </c>
      <c r="AC26" s="65">
        <v>14.04</v>
      </c>
      <c r="AD26" s="68">
        <v>7.43</v>
      </c>
      <c r="AE26" s="27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</row>
    <row r="27" spans="1:110" s="35" customFormat="1" ht="16.5" customHeight="1">
      <c r="A27" s="29" t="s">
        <v>92</v>
      </c>
      <c r="B27" s="36" t="s">
        <v>31</v>
      </c>
      <c r="C27" s="62" t="s">
        <v>77</v>
      </c>
      <c r="D27" s="63" t="e">
        <f t="shared" si="0"/>
        <v>#REF!</v>
      </c>
      <c r="E27" s="63" t="e">
        <f>'Додаток2 скор'!E26+#REF!+#REF!</f>
        <v>#REF!</v>
      </c>
      <c r="F27" s="63" t="e">
        <f t="shared" si="1"/>
        <v>#REF!</v>
      </c>
      <c r="G27" s="63" t="e">
        <f>'Додаток2 скор'!G26+#REF!+#REF!</f>
        <v>#REF!</v>
      </c>
      <c r="H27" s="63" t="e">
        <f>'Додаток2 скор'!H26+#REF!+#REF!</f>
        <v>#REF!</v>
      </c>
      <c r="I27" s="63" t="e">
        <f>'Додаток2 скор'!I26+#REF!+#REF!</f>
        <v>#REF!</v>
      </c>
      <c r="J27" s="64" t="e">
        <f t="shared" si="2"/>
        <v>#REF!</v>
      </c>
      <c r="K27" s="63" t="e">
        <f>'Додаток2 скор'!K26+#REF!+#REF!</f>
        <v>#REF!</v>
      </c>
      <c r="L27" s="63" t="e">
        <f>'Додаток2 скор'!L26+#REF!+#REF!</f>
        <v>#REF!</v>
      </c>
      <c r="M27" s="63" t="e">
        <f>'Додаток2 скор'!M26+#REF!+#REF!</f>
        <v>#REF!</v>
      </c>
      <c r="N27" s="63" t="e">
        <f>'Додаток2 скор'!N26+#REF!+#REF!</f>
        <v>#REF!</v>
      </c>
      <c r="O27" s="64" t="e">
        <f t="shared" si="6"/>
        <v>#REF!</v>
      </c>
      <c r="P27" s="63" t="e">
        <f>'Додаток2 скор'!P26+#REF!+#REF!</f>
        <v>#REF!</v>
      </c>
      <c r="Q27" s="63" t="e">
        <f>'Додаток2 скор'!Q26+#REF!+#REF!</f>
        <v>#REF!</v>
      </c>
      <c r="R27" s="63" t="e">
        <f>'Додаток2 скор'!R26+#REF!+#REF!</f>
        <v>#REF!</v>
      </c>
      <c r="S27" s="63" t="e">
        <f>'Додаток2 скор'!S26+#REF!+#REF!</f>
        <v>#REF!</v>
      </c>
      <c r="T27" s="64" t="e">
        <f t="shared" si="5"/>
        <v>#REF!</v>
      </c>
      <c r="U27" s="63" t="e">
        <f>'Додаток2 скор'!U26+#REF!+#REF!</f>
        <v>#REF!</v>
      </c>
      <c r="V27" s="63" t="e">
        <f>'Додаток2 скор'!V26+#REF!+#REF!</f>
        <v>#REF!</v>
      </c>
      <c r="W27" s="69">
        <v>250.01</v>
      </c>
      <c r="X27" s="66">
        <v>4.08</v>
      </c>
      <c r="Y27" s="65">
        <v>212.8</v>
      </c>
      <c r="Z27" s="66">
        <v>4.08</v>
      </c>
      <c r="AA27" s="65">
        <v>29.51</v>
      </c>
      <c r="AB27" s="68">
        <v>4.08</v>
      </c>
      <c r="AC27" s="65">
        <v>7.7</v>
      </c>
      <c r="AD27" s="68">
        <v>4.08</v>
      </c>
      <c r="AE27" s="27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</row>
    <row r="28" spans="1:31" s="28" customFormat="1" ht="18" customHeight="1">
      <c r="A28" s="11" t="s">
        <v>32</v>
      </c>
      <c r="B28" s="55" t="s">
        <v>33</v>
      </c>
      <c r="C28" s="56" t="s">
        <v>77</v>
      </c>
      <c r="D28" s="57" t="e">
        <f t="shared" si="0"/>
        <v>#REF!</v>
      </c>
      <c r="E28" s="57" t="e">
        <f>'Додаток2 скор'!E27+#REF!+#REF!</f>
        <v>#REF!</v>
      </c>
      <c r="F28" s="57" t="e">
        <f t="shared" si="1"/>
        <v>#REF!</v>
      </c>
      <c r="G28" s="57" t="e">
        <f>'Додаток2 скор'!G27+#REF!+#REF!</f>
        <v>#REF!</v>
      </c>
      <c r="H28" s="57" t="e">
        <f>SUM(H29:H31)</f>
        <v>#REF!</v>
      </c>
      <c r="I28" s="57" t="e">
        <f>'Додаток2 скор'!I27+#REF!+#REF!</f>
        <v>#REF!</v>
      </c>
      <c r="J28" s="58" t="e">
        <f t="shared" si="2"/>
        <v>#REF!</v>
      </c>
      <c r="K28" s="57" t="e">
        <f>'Додаток2 скор'!K27+#REF!+#REF!</f>
        <v>#REF!</v>
      </c>
      <c r="L28" s="57" t="e">
        <f>'Додаток2 скор'!L27+#REF!+#REF!</f>
        <v>#REF!</v>
      </c>
      <c r="M28" s="57" t="e">
        <f>SUM(M29:M31)</f>
        <v>#REF!</v>
      </c>
      <c r="N28" s="57" t="e">
        <f>'Додаток2 скор'!N27+#REF!+#REF!</f>
        <v>#REF!</v>
      </c>
      <c r="O28" s="58" t="e">
        <f t="shared" si="6"/>
        <v>#REF!</v>
      </c>
      <c r="P28" s="57" t="e">
        <f>SUM(P29:P31)</f>
        <v>#REF!</v>
      </c>
      <c r="Q28" s="57" t="e">
        <f>'Додаток2 скор'!Q27+#REF!+#REF!</f>
        <v>#REF!</v>
      </c>
      <c r="R28" s="57" t="e">
        <f>SUM(R29:R31)</f>
        <v>#REF!</v>
      </c>
      <c r="S28" s="57" t="e">
        <f>'Додаток2 скор'!S27+#REF!+#REF!</f>
        <v>#REF!</v>
      </c>
      <c r="T28" s="58" t="e">
        <f t="shared" si="5"/>
        <v>#REF!</v>
      </c>
      <c r="U28" s="57" t="e">
        <f>SUM(U29:U31)</f>
        <v>#REF!</v>
      </c>
      <c r="V28" s="57" t="e">
        <f>'Додаток2 скор'!V27+#REF!+#REF!</f>
        <v>#REF!</v>
      </c>
      <c r="W28" s="78">
        <v>0</v>
      </c>
      <c r="X28" s="60">
        <v>0</v>
      </c>
      <c r="Y28" s="61">
        <v>0</v>
      </c>
      <c r="Z28" s="60">
        <v>0</v>
      </c>
      <c r="AA28" s="61">
        <v>0</v>
      </c>
      <c r="AB28" s="60">
        <v>0</v>
      </c>
      <c r="AC28" s="61">
        <v>0</v>
      </c>
      <c r="AD28" s="60">
        <v>0</v>
      </c>
      <c r="AE28" s="27"/>
    </row>
    <row r="29" spans="1:110" s="35" customFormat="1" ht="16.5" customHeight="1">
      <c r="A29" s="29" t="s">
        <v>34</v>
      </c>
      <c r="B29" s="36" t="s">
        <v>42</v>
      </c>
      <c r="C29" s="62" t="s">
        <v>77</v>
      </c>
      <c r="D29" s="63" t="e">
        <f t="shared" si="0"/>
        <v>#REF!</v>
      </c>
      <c r="E29" s="63" t="e">
        <f>'Додаток2 скор'!E28+#REF!+#REF!</f>
        <v>#REF!</v>
      </c>
      <c r="F29" s="63" t="e">
        <f t="shared" si="1"/>
        <v>#REF!</v>
      </c>
      <c r="G29" s="63" t="e">
        <f>'Додаток2 скор'!G28+#REF!+#REF!</f>
        <v>#REF!</v>
      </c>
      <c r="H29" s="63" t="e">
        <f>'Додаток2 скор'!H28+#REF!+#REF!</f>
        <v>#REF!</v>
      </c>
      <c r="I29" s="63" t="e">
        <f>'Додаток2 скор'!I28+#REF!+#REF!</f>
        <v>#REF!</v>
      </c>
      <c r="J29" s="64" t="e">
        <f t="shared" si="2"/>
        <v>#REF!</v>
      </c>
      <c r="K29" s="63" t="e">
        <f>'Додаток2 скор'!K28+#REF!+#REF!</f>
        <v>#REF!</v>
      </c>
      <c r="L29" s="63" t="e">
        <f>'Додаток2 скор'!L28+#REF!+#REF!</f>
        <v>#REF!</v>
      </c>
      <c r="M29" s="63" t="e">
        <f>'Додаток2 скор'!M28+#REF!+#REF!</f>
        <v>#REF!</v>
      </c>
      <c r="N29" s="63" t="e">
        <f>'Додаток2 скор'!N28+#REF!+#REF!</f>
        <v>#REF!</v>
      </c>
      <c r="O29" s="64" t="e">
        <f t="shared" si="6"/>
        <v>#REF!</v>
      </c>
      <c r="P29" s="63" t="e">
        <f>'Додаток2 скор'!P28+#REF!+#REF!</f>
        <v>#REF!</v>
      </c>
      <c r="Q29" s="63" t="e">
        <f>'Додаток2 скор'!Q28+#REF!+#REF!</f>
        <v>#REF!</v>
      </c>
      <c r="R29" s="63" t="e">
        <f>'Додаток2 скор'!R28+#REF!+#REF!</f>
        <v>#REF!</v>
      </c>
      <c r="S29" s="63" t="e">
        <f>'Додаток2 скор'!S28+#REF!+#REF!</f>
        <v>#REF!</v>
      </c>
      <c r="T29" s="64" t="e">
        <f t="shared" si="5"/>
        <v>#REF!</v>
      </c>
      <c r="U29" s="63" t="e">
        <f>'Додаток2 скор'!U28+#REF!+#REF!</f>
        <v>#REF!</v>
      </c>
      <c r="V29" s="63" t="e">
        <f>'Додаток2 скор'!V28+#REF!+#REF!</f>
        <v>#REF!</v>
      </c>
      <c r="W29" s="69">
        <v>0</v>
      </c>
      <c r="X29" s="66">
        <v>0</v>
      </c>
      <c r="Y29" s="67">
        <v>0</v>
      </c>
      <c r="Z29" s="66">
        <v>0</v>
      </c>
      <c r="AA29" s="67">
        <v>0</v>
      </c>
      <c r="AB29" s="68">
        <v>0</v>
      </c>
      <c r="AC29" s="67">
        <v>0</v>
      </c>
      <c r="AD29" s="68">
        <v>0</v>
      </c>
      <c r="AE29" s="27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</row>
    <row r="30" spans="1:110" s="35" customFormat="1" ht="16.5" customHeight="1">
      <c r="A30" s="29" t="s">
        <v>35</v>
      </c>
      <c r="B30" s="36" t="s">
        <v>44</v>
      </c>
      <c r="C30" s="62" t="s">
        <v>77</v>
      </c>
      <c r="D30" s="63" t="e">
        <f t="shared" si="0"/>
        <v>#REF!</v>
      </c>
      <c r="E30" s="63" t="e">
        <f>'Додаток2 скор'!E29+#REF!+#REF!</f>
        <v>#REF!</v>
      </c>
      <c r="F30" s="63" t="e">
        <f t="shared" si="1"/>
        <v>#REF!</v>
      </c>
      <c r="G30" s="63" t="e">
        <f>'Додаток2 скор'!G29+#REF!+#REF!</f>
        <v>#REF!</v>
      </c>
      <c r="H30" s="63" t="e">
        <f>'Додаток2 скор'!H29+#REF!+#REF!</f>
        <v>#REF!</v>
      </c>
      <c r="I30" s="63" t="e">
        <f>'Додаток2 скор'!I29+#REF!+#REF!</f>
        <v>#REF!</v>
      </c>
      <c r="J30" s="64" t="e">
        <f t="shared" si="2"/>
        <v>#REF!</v>
      </c>
      <c r="K30" s="63" t="e">
        <f>'Додаток2 скор'!K29+#REF!+#REF!</f>
        <v>#REF!</v>
      </c>
      <c r="L30" s="63" t="e">
        <f>'Додаток2 скор'!L29+#REF!+#REF!</f>
        <v>#REF!</v>
      </c>
      <c r="M30" s="63" t="e">
        <f>'Додаток2 скор'!M29+#REF!+#REF!</f>
        <v>#REF!</v>
      </c>
      <c r="N30" s="63" t="e">
        <f>'Додаток2 скор'!N29+#REF!+#REF!</f>
        <v>#REF!</v>
      </c>
      <c r="O30" s="64" t="e">
        <f t="shared" si="6"/>
        <v>#REF!</v>
      </c>
      <c r="P30" s="63" t="e">
        <f>'Додаток2 скор'!P29+#REF!+#REF!</f>
        <v>#REF!</v>
      </c>
      <c r="Q30" s="63" t="e">
        <f>'Додаток2 скор'!Q29+#REF!+#REF!</f>
        <v>#REF!</v>
      </c>
      <c r="R30" s="63" t="e">
        <f>'Додаток2 скор'!R29+#REF!+#REF!</f>
        <v>#REF!</v>
      </c>
      <c r="S30" s="63" t="e">
        <f>'Додаток2 скор'!S29+#REF!+#REF!</f>
        <v>#REF!</v>
      </c>
      <c r="T30" s="64" t="e">
        <f t="shared" si="5"/>
        <v>#REF!</v>
      </c>
      <c r="U30" s="63" t="e">
        <f>'Додаток2 скор'!U29+#REF!+#REF!</f>
        <v>#REF!</v>
      </c>
      <c r="V30" s="63" t="e">
        <f>'Додаток2 скор'!V29+#REF!+#REF!</f>
        <v>#REF!</v>
      </c>
      <c r="W30" s="69">
        <v>0</v>
      </c>
      <c r="X30" s="66">
        <v>0</v>
      </c>
      <c r="Y30" s="67">
        <v>0</v>
      </c>
      <c r="Z30" s="66">
        <v>0</v>
      </c>
      <c r="AA30" s="67">
        <v>0</v>
      </c>
      <c r="AB30" s="68">
        <v>0</v>
      </c>
      <c r="AC30" s="67">
        <v>0</v>
      </c>
      <c r="AD30" s="68">
        <v>0</v>
      </c>
      <c r="AE30" s="27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</row>
    <row r="31" spans="1:110" s="35" customFormat="1" ht="16.5" customHeight="1">
      <c r="A31" s="29" t="s">
        <v>93</v>
      </c>
      <c r="B31" s="36" t="s">
        <v>36</v>
      </c>
      <c r="C31" s="62" t="s">
        <v>77</v>
      </c>
      <c r="D31" s="63" t="e">
        <f t="shared" si="0"/>
        <v>#REF!</v>
      </c>
      <c r="E31" s="63" t="e">
        <f>'Додаток2 скор'!E30+#REF!+#REF!</f>
        <v>#REF!</v>
      </c>
      <c r="F31" s="63" t="e">
        <f t="shared" si="1"/>
        <v>#REF!</v>
      </c>
      <c r="G31" s="63" t="e">
        <f>'Додаток2 скор'!G30+#REF!+#REF!</f>
        <v>#REF!</v>
      </c>
      <c r="H31" s="63" t="e">
        <f>'Додаток2 скор'!H30+#REF!+#REF!</f>
        <v>#REF!</v>
      </c>
      <c r="I31" s="63" t="e">
        <f>'Додаток2 скор'!I30+#REF!+#REF!</f>
        <v>#REF!</v>
      </c>
      <c r="J31" s="64" t="e">
        <f t="shared" si="2"/>
        <v>#REF!</v>
      </c>
      <c r="K31" s="63" t="e">
        <f>'Додаток2 скор'!K30+#REF!+#REF!</f>
        <v>#REF!</v>
      </c>
      <c r="L31" s="63" t="e">
        <f>'Додаток2 скор'!L30+#REF!+#REF!</f>
        <v>#REF!</v>
      </c>
      <c r="M31" s="63" t="e">
        <f>'Додаток2 скор'!M30+#REF!+#REF!</f>
        <v>#REF!</v>
      </c>
      <c r="N31" s="63" t="e">
        <f>'Додаток2 скор'!N30+#REF!+#REF!</f>
        <v>#REF!</v>
      </c>
      <c r="O31" s="64" t="e">
        <f t="shared" si="6"/>
        <v>#REF!</v>
      </c>
      <c r="P31" s="63" t="e">
        <f>'Додаток2 скор'!P30+#REF!+#REF!</f>
        <v>#REF!</v>
      </c>
      <c r="Q31" s="63" t="e">
        <f>'Додаток2 скор'!Q30+#REF!+#REF!</f>
        <v>#REF!</v>
      </c>
      <c r="R31" s="63" t="e">
        <f>'Додаток2 скор'!R30+#REF!+#REF!</f>
        <v>#REF!</v>
      </c>
      <c r="S31" s="63" t="e">
        <f>'Додаток2 скор'!S30+#REF!+#REF!</f>
        <v>#REF!</v>
      </c>
      <c r="T31" s="64" t="e">
        <f t="shared" si="5"/>
        <v>#REF!</v>
      </c>
      <c r="U31" s="63" t="e">
        <f>'Додаток2 скор'!U30+#REF!+#REF!</f>
        <v>#REF!</v>
      </c>
      <c r="V31" s="63" t="e">
        <f>'Додаток2 скор'!V30+#REF!+#REF!</f>
        <v>#REF!</v>
      </c>
      <c r="W31" s="69">
        <v>0</v>
      </c>
      <c r="X31" s="66">
        <v>0</v>
      </c>
      <c r="Y31" s="67">
        <v>0</v>
      </c>
      <c r="Z31" s="66">
        <v>0</v>
      </c>
      <c r="AA31" s="67">
        <v>0</v>
      </c>
      <c r="AB31" s="68">
        <v>0</v>
      </c>
      <c r="AC31" s="67">
        <v>0</v>
      </c>
      <c r="AD31" s="68">
        <v>0</v>
      </c>
      <c r="AE31" s="27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</row>
    <row r="32" spans="1:31" s="28" customFormat="1" ht="16.5" customHeight="1">
      <c r="A32" s="11" t="s">
        <v>37</v>
      </c>
      <c r="B32" s="55" t="s">
        <v>38</v>
      </c>
      <c r="C32" s="56" t="s">
        <v>77</v>
      </c>
      <c r="D32" s="57" t="e">
        <f t="shared" si="0"/>
        <v>#REF!</v>
      </c>
      <c r="E32" s="57" t="e">
        <f>'Додаток2 скор'!E31+#REF!+#REF!</f>
        <v>#REF!</v>
      </c>
      <c r="F32" s="57" t="e">
        <f t="shared" si="1"/>
        <v>#REF!</v>
      </c>
      <c r="G32" s="57" t="e">
        <f>'Додаток2 скор'!G31+#REF!+#REF!</f>
        <v>#REF!</v>
      </c>
      <c r="H32" s="57" t="e">
        <f>SUM(H33:H35)</f>
        <v>#REF!</v>
      </c>
      <c r="I32" s="57" t="e">
        <f>'Додаток2 скор'!I31+#REF!+#REF!</f>
        <v>#REF!</v>
      </c>
      <c r="J32" s="58" t="e">
        <f t="shared" si="2"/>
        <v>#REF!</v>
      </c>
      <c r="K32" s="57" t="e">
        <f>'Додаток2 скор'!K31+#REF!+#REF!</f>
        <v>#REF!</v>
      </c>
      <c r="L32" s="57" t="e">
        <f>'Додаток2 скор'!L31+#REF!+#REF!</f>
        <v>#REF!</v>
      </c>
      <c r="M32" s="57" t="e">
        <f>SUM(M33:M35)</f>
        <v>#REF!</v>
      </c>
      <c r="N32" s="57" t="e">
        <f>'Додаток2 скор'!N31+#REF!+#REF!</f>
        <v>#REF!</v>
      </c>
      <c r="O32" s="58" t="e">
        <f t="shared" si="6"/>
        <v>#REF!</v>
      </c>
      <c r="P32" s="57" t="e">
        <f>SUM(P33:P35)</f>
        <v>#REF!</v>
      </c>
      <c r="Q32" s="57" t="e">
        <f>'Додаток2 скор'!Q31+#REF!+#REF!</f>
        <v>#REF!</v>
      </c>
      <c r="R32" s="57" t="e">
        <f>SUM(R33:R35)</f>
        <v>#REF!</v>
      </c>
      <c r="S32" s="57" t="e">
        <f>'Додаток2 скор'!S31+#REF!+#REF!</f>
        <v>#REF!</v>
      </c>
      <c r="T32" s="58" t="e">
        <f t="shared" si="5"/>
        <v>#REF!</v>
      </c>
      <c r="U32" s="57" t="e">
        <f>SUM(U33:U35)</f>
        <v>#REF!</v>
      </c>
      <c r="V32" s="57" t="e">
        <f>'Додаток2 скор'!V31+#REF!+#REF!</f>
        <v>#REF!</v>
      </c>
      <c r="W32" s="78">
        <v>936.23</v>
      </c>
      <c r="X32" s="60">
        <v>15.27</v>
      </c>
      <c r="Y32" s="61">
        <v>796.89</v>
      </c>
      <c r="Z32" s="60">
        <v>15.27</v>
      </c>
      <c r="AA32" s="61">
        <v>110.5</v>
      </c>
      <c r="AB32" s="60">
        <v>15.27</v>
      </c>
      <c r="AC32" s="61">
        <v>28.85</v>
      </c>
      <c r="AD32" s="60">
        <v>15.27</v>
      </c>
      <c r="AE32" s="27"/>
    </row>
    <row r="33" spans="1:110" s="35" customFormat="1" ht="16.5" customHeight="1">
      <c r="A33" s="29" t="s">
        <v>39</v>
      </c>
      <c r="B33" s="36" t="s">
        <v>42</v>
      </c>
      <c r="C33" s="62" t="s">
        <v>77</v>
      </c>
      <c r="D33" s="63" t="e">
        <f t="shared" si="0"/>
        <v>#REF!</v>
      </c>
      <c r="E33" s="63" t="e">
        <f>'Додаток2 скор'!E32+#REF!+#REF!</f>
        <v>#REF!</v>
      </c>
      <c r="F33" s="63" t="e">
        <f t="shared" si="1"/>
        <v>#REF!</v>
      </c>
      <c r="G33" s="63" t="e">
        <f>'Додаток2 скор'!G32+#REF!+#REF!</f>
        <v>#REF!</v>
      </c>
      <c r="H33" s="63" t="e">
        <f>'Додаток2 скор'!H32+#REF!+#REF!</f>
        <v>#REF!</v>
      </c>
      <c r="I33" s="63" t="e">
        <f>'Додаток2 скор'!I32+#REF!+#REF!</f>
        <v>#REF!</v>
      </c>
      <c r="J33" s="64" t="e">
        <f t="shared" si="2"/>
        <v>#REF!</v>
      </c>
      <c r="K33" s="63" t="e">
        <f>'Додаток2 скор'!K32+#REF!+#REF!</f>
        <v>#REF!</v>
      </c>
      <c r="L33" s="63" t="e">
        <f>'Додаток2 скор'!L32+#REF!+#REF!</f>
        <v>#REF!</v>
      </c>
      <c r="M33" s="63" t="e">
        <f>'Додаток2 скор'!M32+#REF!+#REF!</f>
        <v>#REF!</v>
      </c>
      <c r="N33" s="63" t="e">
        <f>'Додаток2 скор'!N32+#REF!+#REF!</f>
        <v>#REF!</v>
      </c>
      <c r="O33" s="64" t="e">
        <f t="shared" si="6"/>
        <v>#REF!</v>
      </c>
      <c r="P33" s="63" t="e">
        <f>'Додаток2 скор'!P32+#REF!+#REF!</f>
        <v>#REF!</v>
      </c>
      <c r="Q33" s="63" t="e">
        <f>'Додаток2 скор'!Q32+#REF!+#REF!</f>
        <v>#REF!</v>
      </c>
      <c r="R33" s="63" t="e">
        <f>'Додаток2 скор'!R32+#REF!+#REF!</f>
        <v>#REF!</v>
      </c>
      <c r="S33" s="63" t="e">
        <f>'Додаток2 скор'!S32+#REF!+#REF!</f>
        <v>#REF!</v>
      </c>
      <c r="T33" s="64" t="e">
        <f t="shared" si="5"/>
        <v>#REF!</v>
      </c>
      <c r="U33" s="63" t="e">
        <f>'Додаток2 скор'!U32+#REF!+#REF!</f>
        <v>#REF!</v>
      </c>
      <c r="V33" s="63" t="e">
        <f>'Додаток2 скор'!V32+#REF!+#REF!</f>
        <v>#REF!</v>
      </c>
      <c r="W33" s="69">
        <v>577.83</v>
      </c>
      <c r="X33" s="66">
        <v>9.43</v>
      </c>
      <c r="Y33" s="67">
        <v>491.83</v>
      </c>
      <c r="Z33" s="66">
        <v>9.43</v>
      </c>
      <c r="AA33" s="67">
        <v>68.2</v>
      </c>
      <c r="AB33" s="68">
        <v>9.43</v>
      </c>
      <c r="AC33" s="67">
        <v>17.8</v>
      </c>
      <c r="AD33" s="68">
        <v>9.43</v>
      </c>
      <c r="AE33" s="27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</row>
    <row r="34" spans="1:110" s="35" customFormat="1" ht="16.5" customHeight="1">
      <c r="A34" s="29" t="s">
        <v>40</v>
      </c>
      <c r="B34" s="36" t="s">
        <v>44</v>
      </c>
      <c r="C34" s="62" t="s">
        <v>77</v>
      </c>
      <c r="D34" s="63" t="e">
        <f t="shared" si="0"/>
        <v>#REF!</v>
      </c>
      <c r="E34" s="63" t="e">
        <f>'Додаток2 скор'!E33+#REF!+#REF!</f>
        <v>#REF!</v>
      </c>
      <c r="F34" s="63" t="e">
        <f t="shared" si="1"/>
        <v>#REF!</v>
      </c>
      <c r="G34" s="63" t="e">
        <f>'Додаток2 скор'!G33+#REF!+#REF!</f>
        <v>#REF!</v>
      </c>
      <c r="H34" s="63" t="e">
        <f>'Додаток2 скор'!H33+#REF!+#REF!</f>
        <v>#REF!</v>
      </c>
      <c r="I34" s="63" t="e">
        <f>'Додаток2 скор'!I33+#REF!+#REF!</f>
        <v>#REF!</v>
      </c>
      <c r="J34" s="64" t="e">
        <f t="shared" si="2"/>
        <v>#REF!</v>
      </c>
      <c r="K34" s="63" t="e">
        <f>'Додаток2 скор'!K33+#REF!+#REF!</f>
        <v>#REF!</v>
      </c>
      <c r="L34" s="63" t="e">
        <f>'Додаток2 скор'!L33+#REF!+#REF!</f>
        <v>#REF!</v>
      </c>
      <c r="M34" s="63" t="e">
        <f>'Додаток2 скор'!M33+#REF!+#REF!</f>
        <v>#REF!</v>
      </c>
      <c r="N34" s="63" t="e">
        <f>'Додаток2 скор'!N33+#REF!+#REF!</f>
        <v>#REF!</v>
      </c>
      <c r="O34" s="64" t="e">
        <f t="shared" si="6"/>
        <v>#REF!</v>
      </c>
      <c r="P34" s="63" t="e">
        <f>'Додаток2 скор'!P33+#REF!+#REF!</f>
        <v>#REF!</v>
      </c>
      <c r="Q34" s="63" t="e">
        <f>'Додаток2 скор'!Q33+#REF!+#REF!</f>
        <v>#REF!</v>
      </c>
      <c r="R34" s="63" t="e">
        <f>'Додаток2 скор'!R33+#REF!+#REF!</f>
        <v>#REF!</v>
      </c>
      <c r="S34" s="63" t="e">
        <f>'Додаток2 скор'!S33+#REF!+#REF!</f>
        <v>#REF!</v>
      </c>
      <c r="T34" s="64" t="e">
        <f t="shared" si="5"/>
        <v>#REF!</v>
      </c>
      <c r="U34" s="63" t="e">
        <f>'Додаток2 скор'!U33+#REF!+#REF!</f>
        <v>#REF!</v>
      </c>
      <c r="V34" s="63" t="e">
        <f>'Додаток2 скор'!V33+#REF!+#REF!</f>
        <v>#REF!</v>
      </c>
      <c r="W34" s="69">
        <v>214.14</v>
      </c>
      <c r="X34" s="66">
        <v>3.49</v>
      </c>
      <c r="Y34" s="67">
        <v>182.27</v>
      </c>
      <c r="Z34" s="66">
        <v>3.49</v>
      </c>
      <c r="AA34" s="67">
        <v>25.27</v>
      </c>
      <c r="AB34" s="68">
        <v>3.49</v>
      </c>
      <c r="AC34" s="67">
        <v>6.6</v>
      </c>
      <c r="AD34" s="68">
        <v>3.49</v>
      </c>
      <c r="AE34" s="27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</row>
    <row r="35" spans="1:110" s="35" customFormat="1" ht="16.5" customHeight="1">
      <c r="A35" s="29" t="s">
        <v>94</v>
      </c>
      <c r="B35" s="36" t="s">
        <v>36</v>
      </c>
      <c r="C35" s="62" t="s">
        <v>77</v>
      </c>
      <c r="D35" s="63" t="e">
        <f t="shared" si="0"/>
        <v>#REF!</v>
      </c>
      <c r="E35" s="63" t="e">
        <f>'Додаток2 скор'!E34+#REF!+#REF!</f>
        <v>#REF!</v>
      </c>
      <c r="F35" s="63" t="e">
        <f t="shared" si="1"/>
        <v>#REF!</v>
      </c>
      <c r="G35" s="63" t="e">
        <f>'Додаток2 скор'!G34+#REF!+#REF!</f>
        <v>#REF!</v>
      </c>
      <c r="H35" s="63" t="e">
        <f>'Додаток2 скор'!H34+#REF!+#REF!</f>
        <v>#REF!</v>
      </c>
      <c r="I35" s="63" t="e">
        <f>'Додаток2 скор'!I34+#REF!+#REF!</f>
        <v>#REF!</v>
      </c>
      <c r="J35" s="64" t="e">
        <f t="shared" si="2"/>
        <v>#REF!</v>
      </c>
      <c r="K35" s="63" t="e">
        <f>'Додаток2 скор'!K34+#REF!+#REF!</f>
        <v>#REF!</v>
      </c>
      <c r="L35" s="63" t="e">
        <f>'Додаток2 скор'!L34+#REF!+#REF!</f>
        <v>#REF!</v>
      </c>
      <c r="M35" s="63" t="e">
        <f>'Додаток2 скор'!M34+#REF!+#REF!</f>
        <v>#REF!</v>
      </c>
      <c r="N35" s="63" t="e">
        <f>'Додаток2 скор'!N34+#REF!+#REF!</f>
        <v>#REF!</v>
      </c>
      <c r="O35" s="64" t="e">
        <f t="shared" si="6"/>
        <v>#REF!</v>
      </c>
      <c r="P35" s="63" t="e">
        <f>'Додаток2 скор'!P34+#REF!+#REF!</f>
        <v>#REF!</v>
      </c>
      <c r="Q35" s="63" t="e">
        <f>'Додаток2 скор'!Q34+#REF!+#REF!</f>
        <v>#REF!</v>
      </c>
      <c r="R35" s="63" t="e">
        <f>'Додаток2 скор'!R34+#REF!+#REF!</f>
        <v>#REF!</v>
      </c>
      <c r="S35" s="63" t="e">
        <f>'Додаток2 скор'!S34+#REF!+#REF!</f>
        <v>#REF!</v>
      </c>
      <c r="T35" s="64" t="e">
        <f t="shared" si="5"/>
        <v>#REF!</v>
      </c>
      <c r="U35" s="63" t="e">
        <f>'Додаток2 скор'!U34+#REF!+#REF!</f>
        <v>#REF!</v>
      </c>
      <c r="V35" s="63" t="e">
        <f>'Додаток2 скор'!V34+#REF!+#REF!</f>
        <v>#REF!</v>
      </c>
      <c r="W35" s="69">
        <v>144.26</v>
      </c>
      <c r="X35" s="66">
        <v>2.35</v>
      </c>
      <c r="Y35" s="67">
        <v>122.79</v>
      </c>
      <c r="Z35" s="66">
        <v>2.35</v>
      </c>
      <c r="AA35" s="67">
        <v>17.03</v>
      </c>
      <c r="AB35" s="68">
        <v>2.35</v>
      </c>
      <c r="AC35" s="67">
        <v>4.44</v>
      </c>
      <c r="AD35" s="68">
        <v>2.35</v>
      </c>
      <c r="AE35" s="27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</row>
    <row r="36" spans="1:31" s="28" customFormat="1" ht="16.5" customHeight="1">
      <c r="A36" s="11">
        <v>3</v>
      </c>
      <c r="B36" s="55" t="s">
        <v>95</v>
      </c>
      <c r="C36" s="56" t="s">
        <v>77</v>
      </c>
      <c r="D36" s="57">
        <f t="shared" si="0"/>
        <v>0</v>
      </c>
      <c r="E36" s="57" t="e">
        <f>'Додаток2 скор'!E35+#REF!+#REF!</f>
        <v>#REF!</v>
      </c>
      <c r="F36" s="57">
        <f t="shared" si="1"/>
        <v>0</v>
      </c>
      <c r="G36" s="57" t="e">
        <f>'Додаток2 скор'!G35+#REF!+#REF!</f>
        <v>#REF!</v>
      </c>
      <c r="H36" s="57">
        <f>SUM(H37:H39)</f>
        <v>0</v>
      </c>
      <c r="I36" s="57" t="e">
        <f>'Додаток2 скор'!I35+#REF!+#REF!</f>
        <v>#REF!</v>
      </c>
      <c r="J36" s="58">
        <f t="shared" si="2"/>
        <v>0</v>
      </c>
      <c r="K36" s="57" t="e">
        <f>'Додаток2 скор'!K35+#REF!+#REF!</f>
        <v>#REF!</v>
      </c>
      <c r="L36" s="57" t="e">
        <f>'Додаток2 скор'!L35+#REF!+#REF!</f>
        <v>#REF!</v>
      </c>
      <c r="M36" s="57">
        <f>SUM(M37:M39)</f>
        <v>0</v>
      </c>
      <c r="N36" s="57" t="e">
        <f>'Додаток2 скор'!N35+#REF!+#REF!</f>
        <v>#REF!</v>
      </c>
      <c r="O36" s="58">
        <f t="shared" si="6"/>
        <v>0</v>
      </c>
      <c r="P36" s="57">
        <f>SUM(P37:P39)</f>
        <v>0</v>
      </c>
      <c r="Q36" s="57" t="e">
        <f>'Додаток2 скор'!Q35+#REF!+#REF!</f>
        <v>#REF!</v>
      </c>
      <c r="R36" s="57">
        <f>SUM(R37:R39)</f>
        <v>0</v>
      </c>
      <c r="S36" s="57" t="e">
        <f>'Додаток2 скор'!S35+#REF!+#REF!</f>
        <v>#REF!</v>
      </c>
      <c r="T36" s="58">
        <f t="shared" si="5"/>
        <v>0</v>
      </c>
      <c r="U36" s="57">
        <f>SUM(U37:U39)</f>
        <v>0</v>
      </c>
      <c r="V36" s="57" t="e">
        <f>'Додаток2 скор'!V35+#REF!+#REF!</f>
        <v>#REF!</v>
      </c>
      <c r="W36" s="78">
        <v>0</v>
      </c>
      <c r="X36" s="60">
        <v>0</v>
      </c>
      <c r="Y36" s="61">
        <v>0</v>
      </c>
      <c r="Z36" s="60">
        <v>0</v>
      </c>
      <c r="AA36" s="61">
        <v>0</v>
      </c>
      <c r="AB36" s="60">
        <v>0</v>
      </c>
      <c r="AC36" s="61">
        <v>0</v>
      </c>
      <c r="AD36" s="60">
        <v>0</v>
      </c>
      <c r="AE36" s="27"/>
    </row>
    <row r="37" spans="1:110" ht="16.5" customHeight="1" hidden="1">
      <c r="A37" s="29" t="s">
        <v>41</v>
      </c>
      <c r="B37" s="36" t="s">
        <v>42</v>
      </c>
      <c r="C37" s="62" t="s">
        <v>77</v>
      </c>
      <c r="D37" s="63">
        <f t="shared" si="0"/>
        <v>0</v>
      </c>
      <c r="E37" s="63" t="e">
        <f>'Додаток2 скор'!E36+#REF!+#REF!</f>
        <v>#REF!</v>
      </c>
      <c r="F37" s="63">
        <f t="shared" si="1"/>
        <v>0</v>
      </c>
      <c r="G37" s="63" t="e">
        <f>'Додаток2 скор'!G36+#REF!+#REF!</f>
        <v>#REF!</v>
      </c>
      <c r="H37" s="57">
        <v>0</v>
      </c>
      <c r="I37" s="57" t="e">
        <f>'Додаток2 скор'!I36+#REF!+#REF!</f>
        <v>#REF!</v>
      </c>
      <c r="J37" s="58">
        <f t="shared" si="2"/>
        <v>0</v>
      </c>
      <c r="K37" s="57" t="e">
        <f>'Додаток2 скор'!K36+#REF!+#REF!</f>
        <v>#REF!</v>
      </c>
      <c r="L37" s="57" t="e">
        <f>'Додаток2 скор'!L36+#REF!+#REF!</f>
        <v>#REF!</v>
      </c>
      <c r="M37" s="57">
        <v>0</v>
      </c>
      <c r="N37" s="57" t="e">
        <f>'Додаток2 скор'!N36+#REF!+#REF!</f>
        <v>#REF!</v>
      </c>
      <c r="O37" s="58">
        <f t="shared" si="6"/>
        <v>0</v>
      </c>
      <c r="P37" s="57">
        <v>0</v>
      </c>
      <c r="Q37" s="57" t="e">
        <f>'Додаток2 скор'!Q36+#REF!+#REF!</f>
        <v>#REF!</v>
      </c>
      <c r="R37" s="57">
        <v>0</v>
      </c>
      <c r="S37" s="57" t="e">
        <f>'Додаток2 скор'!S36+#REF!+#REF!</f>
        <v>#REF!</v>
      </c>
      <c r="T37" s="58">
        <f t="shared" si="5"/>
        <v>0</v>
      </c>
      <c r="U37" s="57">
        <v>0</v>
      </c>
      <c r="V37" s="57" t="e">
        <f>'Додаток2 скор'!V36+#REF!+#REF!</f>
        <v>#REF!</v>
      </c>
      <c r="W37" s="69">
        <v>0</v>
      </c>
      <c r="X37" s="66">
        <v>0</v>
      </c>
      <c r="Y37" s="67">
        <v>0</v>
      </c>
      <c r="Z37" s="66">
        <v>0</v>
      </c>
      <c r="AA37" s="67">
        <v>0</v>
      </c>
      <c r="AB37" s="68">
        <v>0</v>
      </c>
      <c r="AC37" s="67">
        <v>0</v>
      </c>
      <c r="AD37" s="68">
        <v>0</v>
      </c>
      <c r="AE37" s="27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</row>
    <row r="38" spans="1:110" ht="16.5" customHeight="1" hidden="1">
      <c r="A38" s="29" t="s">
        <v>43</v>
      </c>
      <c r="B38" s="36" t="s">
        <v>44</v>
      </c>
      <c r="C38" s="62" t="s">
        <v>77</v>
      </c>
      <c r="D38" s="63">
        <f t="shared" si="0"/>
        <v>0</v>
      </c>
      <c r="E38" s="63" t="e">
        <f>'Додаток2 скор'!E37+#REF!+#REF!</f>
        <v>#REF!</v>
      </c>
      <c r="F38" s="63">
        <f t="shared" si="1"/>
        <v>0</v>
      </c>
      <c r="G38" s="63" t="e">
        <f>'Додаток2 скор'!G37+#REF!+#REF!</f>
        <v>#REF!</v>
      </c>
      <c r="H38" s="57">
        <v>0</v>
      </c>
      <c r="I38" s="57" t="e">
        <f>'Додаток2 скор'!I37+#REF!+#REF!</f>
        <v>#REF!</v>
      </c>
      <c r="J38" s="58">
        <f t="shared" si="2"/>
        <v>0</v>
      </c>
      <c r="K38" s="57" t="e">
        <f>'Додаток2 скор'!K37+#REF!+#REF!</f>
        <v>#REF!</v>
      </c>
      <c r="L38" s="57" t="e">
        <f>'Додаток2 скор'!L37+#REF!+#REF!</f>
        <v>#REF!</v>
      </c>
      <c r="M38" s="57">
        <v>0</v>
      </c>
      <c r="N38" s="57" t="e">
        <f>'Додаток2 скор'!N37+#REF!+#REF!</f>
        <v>#REF!</v>
      </c>
      <c r="O38" s="58">
        <f t="shared" si="6"/>
        <v>0</v>
      </c>
      <c r="P38" s="57">
        <v>0</v>
      </c>
      <c r="Q38" s="57" t="e">
        <f>'Додаток2 скор'!Q37+#REF!+#REF!</f>
        <v>#REF!</v>
      </c>
      <c r="R38" s="57">
        <v>0</v>
      </c>
      <c r="S38" s="57" t="e">
        <f>'Додаток2 скор'!S37+#REF!+#REF!</f>
        <v>#REF!</v>
      </c>
      <c r="T38" s="58">
        <f t="shared" si="5"/>
        <v>0</v>
      </c>
      <c r="U38" s="57">
        <v>0</v>
      </c>
      <c r="V38" s="57" t="e">
        <f>'Додаток2 скор'!V37+#REF!+#REF!</f>
        <v>#REF!</v>
      </c>
      <c r="W38" s="69">
        <v>0</v>
      </c>
      <c r="X38" s="66">
        <v>0</v>
      </c>
      <c r="Y38" s="67">
        <v>0</v>
      </c>
      <c r="Z38" s="66">
        <v>0</v>
      </c>
      <c r="AA38" s="67">
        <v>0</v>
      </c>
      <c r="AB38" s="68">
        <v>0</v>
      </c>
      <c r="AC38" s="67">
        <v>0</v>
      </c>
      <c r="AD38" s="68">
        <v>0</v>
      </c>
      <c r="AE38" s="27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</row>
    <row r="39" spans="1:110" ht="16.5" customHeight="1" hidden="1">
      <c r="A39" s="29" t="s">
        <v>45</v>
      </c>
      <c r="B39" s="36" t="s">
        <v>36</v>
      </c>
      <c r="C39" s="62" t="s">
        <v>77</v>
      </c>
      <c r="D39" s="63">
        <f t="shared" si="0"/>
        <v>0</v>
      </c>
      <c r="E39" s="63" t="e">
        <f>'Додаток2 скор'!E38+#REF!+#REF!</f>
        <v>#REF!</v>
      </c>
      <c r="F39" s="63">
        <f t="shared" si="1"/>
        <v>0</v>
      </c>
      <c r="G39" s="63" t="e">
        <f>'Додаток2 скор'!G38+#REF!+#REF!</f>
        <v>#REF!</v>
      </c>
      <c r="H39" s="57">
        <v>0</v>
      </c>
      <c r="I39" s="57" t="e">
        <f>'Додаток2 скор'!I38+#REF!+#REF!</f>
        <v>#REF!</v>
      </c>
      <c r="J39" s="58">
        <f t="shared" si="2"/>
        <v>0</v>
      </c>
      <c r="K39" s="57" t="e">
        <f>'Додаток2 скор'!K38+#REF!+#REF!</f>
        <v>#REF!</v>
      </c>
      <c r="L39" s="57" t="e">
        <f>'Додаток2 скор'!L38+#REF!+#REF!</f>
        <v>#REF!</v>
      </c>
      <c r="M39" s="57">
        <v>0</v>
      </c>
      <c r="N39" s="57" t="e">
        <f>'Додаток2 скор'!N38+#REF!+#REF!</f>
        <v>#REF!</v>
      </c>
      <c r="O39" s="58">
        <f t="shared" si="6"/>
        <v>0</v>
      </c>
      <c r="P39" s="57">
        <v>0</v>
      </c>
      <c r="Q39" s="57" t="e">
        <f>'Додаток2 скор'!Q38+#REF!+#REF!</f>
        <v>#REF!</v>
      </c>
      <c r="R39" s="57">
        <v>0</v>
      </c>
      <c r="S39" s="57" t="e">
        <f>'Додаток2 скор'!S38+#REF!+#REF!</f>
        <v>#REF!</v>
      </c>
      <c r="T39" s="58">
        <f t="shared" si="5"/>
        <v>0</v>
      </c>
      <c r="U39" s="57">
        <v>0</v>
      </c>
      <c r="V39" s="57" t="e">
        <f>'Додаток2 скор'!V38+#REF!+#REF!</f>
        <v>#REF!</v>
      </c>
      <c r="W39" s="69">
        <v>0</v>
      </c>
      <c r="X39" s="66">
        <v>0</v>
      </c>
      <c r="Y39" s="67">
        <v>0</v>
      </c>
      <c r="Z39" s="66">
        <v>0</v>
      </c>
      <c r="AA39" s="67">
        <v>0</v>
      </c>
      <c r="AB39" s="68">
        <v>0</v>
      </c>
      <c r="AC39" s="67">
        <v>0</v>
      </c>
      <c r="AD39" s="68">
        <v>0</v>
      </c>
      <c r="AE39" s="27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</row>
    <row r="40" spans="1:31" s="28" customFormat="1" ht="16.5" customHeight="1">
      <c r="A40" s="11">
        <v>4</v>
      </c>
      <c r="B40" s="55" t="s">
        <v>46</v>
      </c>
      <c r="C40" s="56" t="s">
        <v>77</v>
      </c>
      <c r="D40" s="57" t="e">
        <f t="shared" si="0"/>
        <v>#REF!</v>
      </c>
      <c r="E40" s="57" t="e">
        <f>'Додаток2 скор'!E39+#REF!+#REF!</f>
        <v>#REF!</v>
      </c>
      <c r="F40" s="57" t="e">
        <f t="shared" si="1"/>
        <v>#REF!</v>
      </c>
      <c r="G40" s="57" t="e">
        <f>'Додаток2 скор'!G39+#REF!+#REF!</f>
        <v>#REF!</v>
      </c>
      <c r="H40" s="57" t="e">
        <f>'Додаток2 скор'!H39+#REF!+#REF!</f>
        <v>#REF!</v>
      </c>
      <c r="I40" s="57" t="e">
        <f>'Додаток2 скор'!I39+#REF!+#REF!</f>
        <v>#REF!</v>
      </c>
      <c r="J40" s="58" t="e">
        <f t="shared" si="2"/>
        <v>#REF!</v>
      </c>
      <c r="K40" s="57" t="e">
        <f>'Додаток2 скор'!K39+#REF!+#REF!</f>
        <v>#REF!</v>
      </c>
      <c r="L40" s="57" t="e">
        <f>'Додаток2 скор'!L39+#REF!+#REF!</f>
        <v>#REF!</v>
      </c>
      <c r="M40" s="57" t="e">
        <f>'Додаток2 скор'!M39+#REF!+#REF!</f>
        <v>#REF!</v>
      </c>
      <c r="N40" s="57" t="e">
        <f>'Додаток2 скор'!N39+#REF!+#REF!</f>
        <v>#REF!</v>
      </c>
      <c r="O40" s="58" t="e">
        <f t="shared" si="6"/>
        <v>#REF!</v>
      </c>
      <c r="P40" s="57" t="e">
        <f>'Додаток2 скор'!P39+#REF!+#REF!</f>
        <v>#REF!</v>
      </c>
      <c r="Q40" s="57" t="e">
        <f>'Додаток2 скор'!Q39+#REF!+#REF!</f>
        <v>#REF!</v>
      </c>
      <c r="R40" s="57" t="e">
        <f>'Додаток2 скор'!R39+#REF!+#REF!</f>
        <v>#REF!</v>
      </c>
      <c r="S40" s="57" t="e">
        <f>'Додаток2 скор'!S39+#REF!+#REF!</f>
        <v>#REF!</v>
      </c>
      <c r="T40" s="58" t="e">
        <f t="shared" si="5"/>
        <v>#REF!</v>
      </c>
      <c r="U40" s="57" t="e">
        <f>'Додаток2 скор'!U39+#REF!+#REF!</f>
        <v>#REF!</v>
      </c>
      <c r="V40" s="57" t="e">
        <f>'Додаток2 скор'!V39+#REF!+#REF!</f>
        <v>#REF!</v>
      </c>
      <c r="W40" s="78">
        <v>0</v>
      </c>
      <c r="X40" s="60">
        <v>0</v>
      </c>
      <c r="Y40" s="61">
        <v>0</v>
      </c>
      <c r="Z40" s="60">
        <v>0</v>
      </c>
      <c r="AA40" s="61">
        <v>0</v>
      </c>
      <c r="AB40" s="60">
        <v>0</v>
      </c>
      <c r="AC40" s="61">
        <v>0</v>
      </c>
      <c r="AD40" s="60">
        <v>0</v>
      </c>
      <c r="AE40" s="27"/>
    </row>
    <row r="41" spans="1:31" s="28" customFormat="1" ht="16.5" customHeight="1">
      <c r="A41" s="11">
        <v>5</v>
      </c>
      <c r="B41" s="55" t="s">
        <v>47</v>
      </c>
      <c r="C41" s="56" t="s">
        <v>77</v>
      </c>
      <c r="D41" s="57" t="e">
        <f t="shared" si="0"/>
        <v>#REF!</v>
      </c>
      <c r="E41" s="57" t="e">
        <f>'Додаток2 скор'!E40+#REF!+#REF!</f>
        <v>#REF!</v>
      </c>
      <c r="F41" s="57" t="e">
        <f t="shared" si="1"/>
        <v>#REF!</v>
      </c>
      <c r="G41" s="57" t="e">
        <f>'Додаток2 скор'!G40+#REF!+#REF!</f>
        <v>#REF!</v>
      </c>
      <c r="H41" s="57" t="e">
        <f>'Додаток2 скор'!H40+#REF!+#REF!</f>
        <v>#REF!</v>
      </c>
      <c r="I41" s="57" t="e">
        <f>'Додаток2 скор'!I40+#REF!+#REF!</f>
        <v>#REF!</v>
      </c>
      <c r="J41" s="58" t="e">
        <f t="shared" si="2"/>
        <v>#REF!</v>
      </c>
      <c r="K41" s="57" t="e">
        <f>'Додаток2 скор'!K40+#REF!+#REF!</f>
        <v>#REF!</v>
      </c>
      <c r="L41" s="57" t="e">
        <f>'Додаток2 скор'!L40+#REF!+#REF!</f>
        <v>#REF!</v>
      </c>
      <c r="M41" s="57" t="e">
        <f>'Додаток2 скор'!M40+#REF!+#REF!</f>
        <v>#REF!</v>
      </c>
      <c r="N41" s="57" t="e">
        <f>'Додаток2 скор'!N40+#REF!+#REF!</f>
        <v>#REF!</v>
      </c>
      <c r="O41" s="58" t="e">
        <f t="shared" si="6"/>
        <v>#REF!</v>
      </c>
      <c r="P41" s="57" t="e">
        <f>'Додаток2 скор'!P40+#REF!+#REF!</f>
        <v>#REF!</v>
      </c>
      <c r="Q41" s="57" t="e">
        <f>'Додаток2 скор'!Q40+#REF!+#REF!</f>
        <v>#REF!</v>
      </c>
      <c r="R41" s="57" t="e">
        <f>'Додаток2 скор'!R40+#REF!+#REF!</f>
        <v>#REF!</v>
      </c>
      <c r="S41" s="57" t="e">
        <f>'Додаток2 скор'!S40+#REF!+#REF!</f>
        <v>#REF!</v>
      </c>
      <c r="T41" s="58" t="e">
        <f t="shared" si="5"/>
        <v>#REF!</v>
      </c>
      <c r="U41" s="57" t="e">
        <f>'Додаток2 скор'!U40+#REF!+#REF!</f>
        <v>#REF!</v>
      </c>
      <c r="V41" s="57" t="e">
        <f>'Додаток2 скор'!V40+#REF!+#REF!</f>
        <v>#REF!</v>
      </c>
      <c r="W41" s="78">
        <v>0</v>
      </c>
      <c r="X41" s="60">
        <v>0</v>
      </c>
      <c r="Y41" s="61">
        <v>0</v>
      </c>
      <c r="Z41" s="60">
        <v>0</v>
      </c>
      <c r="AA41" s="61">
        <v>0</v>
      </c>
      <c r="AB41" s="60">
        <v>0</v>
      </c>
      <c r="AC41" s="61">
        <v>0</v>
      </c>
      <c r="AD41" s="60">
        <v>0</v>
      </c>
      <c r="AE41" s="27"/>
    </row>
    <row r="42" spans="1:31" s="28" customFormat="1" ht="16.5" customHeight="1">
      <c r="A42" s="11">
        <v>6</v>
      </c>
      <c r="B42" s="55" t="s">
        <v>48</v>
      </c>
      <c r="C42" s="56" t="s">
        <v>77</v>
      </c>
      <c r="D42" s="57" t="e">
        <f t="shared" si="0"/>
        <v>#REF!</v>
      </c>
      <c r="E42" s="57" t="e">
        <f>'Додаток2 скор'!E41+#REF!+#REF!</f>
        <v>#REF!</v>
      </c>
      <c r="F42" s="57" t="e">
        <f t="shared" si="1"/>
        <v>#REF!</v>
      </c>
      <c r="G42" s="57" t="e">
        <f>'Додаток2 скор'!G41+#REF!+#REF!</f>
        <v>#REF!</v>
      </c>
      <c r="H42" s="57" t="e">
        <f>H32+H8</f>
        <v>#REF!</v>
      </c>
      <c r="I42" s="57" t="e">
        <f>'Додаток2 скор'!I41+#REF!+#REF!</f>
        <v>#REF!</v>
      </c>
      <c r="J42" s="58" t="e">
        <f t="shared" si="2"/>
        <v>#REF!</v>
      </c>
      <c r="K42" s="57" t="e">
        <f>'Додаток2 скор'!K41+#REF!+#REF!</f>
        <v>#REF!</v>
      </c>
      <c r="L42" s="57" t="e">
        <f>'Додаток2 скор'!L41+#REF!+#REF!</f>
        <v>#REF!</v>
      </c>
      <c r="M42" s="57" t="e">
        <f>M32+M8</f>
        <v>#REF!</v>
      </c>
      <c r="N42" s="57" t="e">
        <f>'Додаток2 скор'!N41+#REF!+#REF!</f>
        <v>#REF!</v>
      </c>
      <c r="O42" s="58" t="e">
        <f>P42/M42</f>
        <v>#REF!</v>
      </c>
      <c r="P42" s="57" t="e">
        <f>P32+P8</f>
        <v>#REF!</v>
      </c>
      <c r="Q42" s="57" t="e">
        <f>'Додаток2 скор'!Q41+#REF!+#REF!</f>
        <v>#REF!</v>
      </c>
      <c r="R42" s="57" t="e">
        <f>R32+R8</f>
        <v>#REF!</v>
      </c>
      <c r="S42" s="57" t="e">
        <f>'Додаток2 скор'!S41+#REF!+#REF!</f>
        <v>#REF!</v>
      </c>
      <c r="T42" s="58" t="e">
        <f>U42/R42</f>
        <v>#REF!</v>
      </c>
      <c r="U42" s="57" t="e">
        <f>U32+U8</f>
        <v>#REF!</v>
      </c>
      <c r="V42" s="57" t="e">
        <f>'Додаток2 скор'!V41+#REF!+#REF!</f>
        <v>#REF!</v>
      </c>
      <c r="W42" s="78">
        <v>19399.56</v>
      </c>
      <c r="X42" s="60">
        <v>316.46</v>
      </c>
      <c r="Y42" s="61">
        <v>13189.5</v>
      </c>
      <c r="Z42" s="60">
        <v>252.78</v>
      </c>
      <c r="AA42" s="61">
        <v>4924.47</v>
      </c>
      <c r="AB42" s="60">
        <v>680.64</v>
      </c>
      <c r="AC42" s="61">
        <v>1285.59</v>
      </c>
      <c r="AD42" s="60">
        <v>680.64</v>
      </c>
      <c r="AE42" s="27"/>
    </row>
    <row r="43" spans="1:31" s="28" customFormat="1" ht="18.75" customHeight="1">
      <c r="A43" s="11">
        <v>7</v>
      </c>
      <c r="B43" s="40" t="s">
        <v>50</v>
      </c>
      <c r="C43" s="56" t="s">
        <v>77</v>
      </c>
      <c r="D43" s="57" t="e">
        <f t="shared" si="0"/>
        <v>#REF!</v>
      </c>
      <c r="E43" s="57" t="e">
        <f>'Додаток2 скор'!E42+#REF!+#REF!</f>
        <v>#REF!</v>
      </c>
      <c r="F43" s="57" t="e">
        <f t="shared" si="1"/>
        <v>#REF!</v>
      </c>
      <c r="G43" s="57" t="e">
        <f>'Додаток2 скор'!G42+#REF!+#REF!</f>
        <v>#REF!</v>
      </c>
      <c r="H43" s="57" t="e">
        <f>SUM(H44:H48)</f>
        <v>#REF!</v>
      </c>
      <c r="I43" s="57" t="e">
        <f>SUM(I44:I48)</f>
        <v>#REF!</v>
      </c>
      <c r="J43" s="58" t="e">
        <f t="shared" si="2"/>
        <v>#REF!</v>
      </c>
      <c r="K43" s="57" t="e">
        <f>SUM(K44:K48)</f>
        <v>#REF!</v>
      </c>
      <c r="L43" s="57" t="e">
        <f>SUM(L44:L48)</f>
        <v>#REF!</v>
      </c>
      <c r="M43" s="57" t="e">
        <f>SUM(M44:M48)</f>
        <v>#REF!</v>
      </c>
      <c r="N43" s="57" t="e">
        <f>SUM(N44:N48)</f>
        <v>#REF!</v>
      </c>
      <c r="O43" s="58" t="e">
        <f>IF(M43=0,0,P43/M43)</f>
        <v>#REF!</v>
      </c>
      <c r="P43" s="57" t="e">
        <f>SUM(P44:P48)</f>
        <v>#REF!</v>
      </c>
      <c r="Q43" s="57" t="e">
        <f>SUM(Q44:Q48)</f>
        <v>#REF!</v>
      </c>
      <c r="R43" s="57" t="e">
        <f>SUM(R44:R48)</f>
        <v>#REF!</v>
      </c>
      <c r="S43" s="57" t="e">
        <f>SUM(S44:S48)</f>
        <v>#REF!</v>
      </c>
      <c r="T43" s="58" t="e">
        <f>IF(R43=0,0,U43/R43)</f>
        <v>#REF!</v>
      </c>
      <c r="U43" s="57" t="e">
        <f>SUM(U44:U48)</f>
        <v>#REF!</v>
      </c>
      <c r="V43" s="57" t="e">
        <f>SUM(V44:V48)</f>
        <v>#REF!</v>
      </c>
      <c r="W43" s="78">
        <v>0</v>
      </c>
      <c r="X43" s="60">
        <v>0</v>
      </c>
      <c r="Y43" s="61">
        <v>0</v>
      </c>
      <c r="Z43" s="60">
        <v>0</v>
      </c>
      <c r="AA43" s="61">
        <v>0</v>
      </c>
      <c r="AB43" s="60">
        <v>0</v>
      </c>
      <c r="AC43" s="61">
        <v>0</v>
      </c>
      <c r="AD43" s="60">
        <v>0</v>
      </c>
      <c r="AE43" s="27"/>
    </row>
    <row r="44" spans="1:110" ht="16.5" customHeight="1">
      <c r="A44" s="29" t="s">
        <v>51</v>
      </c>
      <c r="B44" s="36" t="s">
        <v>52</v>
      </c>
      <c r="C44" s="62" t="s">
        <v>77</v>
      </c>
      <c r="D44" s="63" t="e">
        <f t="shared" si="0"/>
        <v>#REF!</v>
      </c>
      <c r="E44" s="63" t="e">
        <f>'Додаток2 скор'!E43+#REF!+#REF!</f>
        <v>#REF!</v>
      </c>
      <c r="F44" s="63" t="e">
        <f t="shared" si="1"/>
        <v>#REF!</v>
      </c>
      <c r="G44" s="63" t="e">
        <f>'Додаток2 скор'!G43+#REF!+#REF!</f>
        <v>#REF!</v>
      </c>
      <c r="H44" s="63" t="e">
        <f>'Додаток2 скор'!H43+#REF!+#REF!</f>
        <v>#REF!</v>
      </c>
      <c r="I44" s="63" t="e">
        <f>'Додаток2 скор'!I43+#REF!+#REF!</f>
        <v>#REF!</v>
      </c>
      <c r="J44" s="64" t="e">
        <f t="shared" si="2"/>
        <v>#REF!</v>
      </c>
      <c r="K44" s="63" t="e">
        <f>'Додаток2 скор'!K43+#REF!+#REF!</f>
        <v>#REF!</v>
      </c>
      <c r="L44" s="63" t="e">
        <f>'Додаток2 скор'!L43+#REF!+#REF!</f>
        <v>#REF!</v>
      </c>
      <c r="M44" s="63" t="e">
        <f>'Додаток2 скор'!M43+#REF!+#REF!</f>
        <v>#REF!</v>
      </c>
      <c r="N44" s="63" t="e">
        <f>'Додаток2 скор'!N43+#REF!+#REF!</f>
        <v>#REF!</v>
      </c>
      <c r="O44" s="64" t="e">
        <f t="shared" si="6"/>
        <v>#REF!</v>
      </c>
      <c r="P44" s="63" t="e">
        <f>'Додаток2 скор'!P43+#REF!+#REF!</f>
        <v>#REF!</v>
      </c>
      <c r="Q44" s="63" t="e">
        <f>'Додаток2 скор'!Q43+#REF!+#REF!</f>
        <v>#REF!</v>
      </c>
      <c r="R44" s="63" t="e">
        <f>'Додаток2 скор'!R43+#REF!+#REF!</f>
        <v>#REF!</v>
      </c>
      <c r="S44" s="63" t="e">
        <f>'Додаток2 скор'!S43+#REF!+#REF!</f>
        <v>#REF!</v>
      </c>
      <c r="T44" s="64" t="e">
        <f t="shared" si="5"/>
        <v>#REF!</v>
      </c>
      <c r="U44" s="63" t="e">
        <f>'Додаток2 скор'!U43+#REF!+#REF!</f>
        <v>#REF!</v>
      </c>
      <c r="V44" s="63" t="e">
        <f>'Додаток2 скор'!V43+#REF!+#REF!</f>
        <v>#REF!</v>
      </c>
      <c r="W44" s="69">
        <v>0</v>
      </c>
      <c r="X44" s="66">
        <v>0</v>
      </c>
      <c r="Y44" s="67">
        <v>0</v>
      </c>
      <c r="Z44" s="66">
        <v>0</v>
      </c>
      <c r="AA44" s="67">
        <v>0</v>
      </c>
      <c r="AB44" s="68">
        <v>0</v>
      </c>
      <c r="AC44" s="67">
        <v>0</v>
      </c>
      <c r="AD44" s="68">
        <v>0</v>
      </c>
      <c r="AE44" s="27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</row>
    <row r="45" spans="1:110" ht="16.5" customHeight="1" hidden="1">
      <c r="A45" s="29" t="s">
        <v>53</v>
      </c>
      <c r="B45" s="36" t="s">
        <v>54</v>
      </c>
      <c r="C45" s="62" t="s">
        <v>77</v>
      </c>
      <c r="D45" s="63" t="e">
        <f t="shared" si="0"/>
        <v>#REF!</v>
      </c>
      <c r="E45" s="63" t="e">
        <f>'Додаток2 скор'!E44+#REF!+#REF!</f>
        <v>#REF!</v>
      </c>
      <c r="F45" s="63" t="e">
        <f t="shared" si="1"/>
        <v>#REF!</v>
      </c>
      <c r="G45" s="63" t="e">
        <f>'Додаток2 скор'!G44+#REF!+#REF!</f>
        <v>#REF!</v>
      </c>
      <c r="H45" s="63" t="e">
        <f>'Додаток2 скор'!H44+#REF!+#REF!</f>
        <v>#REF!</v>
      </c>
      <c r="I45" s="63" t="e">
        <f>'Додаток2 скор'!I44+#REF!+#REF!</f>
        <v>#REF!</v>
      </c>
      <c r="J45" s="64" t="e">
        <f t="shared" si="2"/>
        <v>#REF!</v>
      </c>
      <c r="K45" s="63" t="e">
        <f>'Додаток2 скор'!K44+#REF!+#REF!</f>
        <v>#REF!</v>
      </c>
      <c r="L45" s="63" t="e">
        <f>'Додаток2 скор'!L44+#REF!+#REF!</f>
        <v>#REF!</v>
      </c>
      <c r="M45" s="63" t="e">
        <f>'Додаток2 скор'!M44+#REF!+#REF!</f>
        <v>#REF!</v>
      </c>
      <c r="N45" s="63" t="e">
        <f>'Додаток2 скор'!N44+#REF!+#REF!</f>
        <v>#REF!</v>
      </c>
      <c r="O45" s="64" t="e">
        <f t="shared" si="6"/>
        <v>#REF!</v>
      </c>
      <c r="P45" s="63" t="e">
        <f>'Додаток2 скор'!P44+#REF!+#REF!</f>
        <v>#REF!</v>
      </c>
      <c r="Q45" s="63" t="e">
        <f>'Додаток2 скор'!Q44+#REF!+#REF!</f>
        <v>#REF!</v>
      </c>
      <c r="R45" s="63" t="e">
        <f>'Додаток2 скор'!R44+#REF!+#REF!</f>
        <v>#REF!</v>
      </c>
      <c r="S45" s="63" t="e">
        <f>'Додаток2 скор'!S44+#REF!+#REF!</f>
        <v>#REF!</v>
      </c>
      <c r="T45" s="64" t="e">
        <f t="shared" si="5"/>
        <v>#REF!</v>
      </c>
      <c r="U45" s="63" t="e">
        <f>'Додаток2 скор'!U44+#REF!+#REF!</f>
        <v>#REF!</v>
      </c>
      <c r="V45" s="63" t="e">
        <f>'Додаток2 скор'!V44+#REF!+#REF!</f>
        <v>#REF!</v>
      </c>
      <c r="W45" s="69">
        <v>0</v>
      </c>
      <c r="X45" s="66">
        <v>0</v>
      </c>
      <c r="Y45" s="67">
        <v>0</v>
      </c>
      <c r="Z45" s="66">
        <v>0</v>
      </c>
      <c r="AA45" s="67">
        <v>0</v>
      </c>
      <c r="AB45" s="68">
        <v>0</v>
      </c>
      <c r="AC45" s="67">
        <v>0</v>
      </c>
      <c r="AD45" s="68">
        <v>0</v>
      </c>
      <c r="AE45" s="27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</row>
    <row r="46" spans="1:110" ht="16.5" customHeight="1">
      <c r="A46" s="29" t="s">
        <v>53</v>
      </c>
      <c r="B46" s="36" t="str">
        <f>'Додаток2 скор'!B45</f>
        <v>резервний фонд (капітал) та дивіденди </v>
      </c>
      <c r="C46" s="62" t="s">
        <v>77</v>
      </c>
      <c r="D46" s="63" t="e">
        <f t="shared" si="0"/>
        <v>#REF!</v>
      </c>
      <c r="E46" s="63" t="e">
        <f>'Додаток2 скор'!E45+#REF!+#REF!</f>
        <v>#REF!</v>
      </c>
      <c r="F46" s="63" t="e">
        <f t="shared" si="1"/>
        <v>#REF!</v>
      </c>
      <c r="G46" s="63" t="e">
        <f>'Додаток2 скор'!G45+#REF!+#REF!</f>
        <v>#REF!</v>
      </c>
      <c r="H46" s="63" t="e">
        <f>'Додаток2 скор'!H45+#REF!+#REF!</f>
        <v>#REF!</v>
      </c>
      <c r="I46" s="63" t="e">
        <f>'Додаток2 скор'!I45+#REF!+#REF!</f>
        <v>#REF!</v>
      </c>
      <c r="J46" s="64" t="e">
        <f t="shared" si="2"/>
        <v>#REF!</v>
      </c>
      <c r="K46" s="63" t="e">
        <f>'Додаток2 скор'!K45+#REF!+#REF!</f>
        <v>#REF!</v>
      </c>
      <c r="L46" s="63" t="e">
        <f>'Додаток2 скор'!L45+#REF!+#REF!</f>
        <v>#REF!</v>
      </c>
      <c r="M46" s="63" t="e">
        <f>'Додаток2 скор'!M45+#REF!+#REF!</f>
        <v>#REF!</v>
      </c>
      <c r="N46" s="63" t="e">
        <f>'Додаток2 скор'!N45+#REF!+#REF!</f>
        <v>#REF!</v>
      </c>
      <c r="O46" s="64" t="e">
        <f t="shared" si="6"/>
        <v>#REF!</v>
      </c>
      <c r="P46" s="63" t="e">
        <f>'Додаток2 скор'!P45+#REF!+#REF!</f>
        <v>#REF!</v>
      </c>
      <c r="Q46" s="63" t="e">
        <f>'Додаток2 скор'!Q45+#REF!+#REF!</f>
        <v>#REF!</v>
      </c>
      <c r="R46" s="63" t="e">
        <f>'Додаток2 скор'!R45+#REF!+#REF!</f>
        <v>#REF!</v>
      </c>
      <c r="S46" s="63" t="e">
        <f>'Додаток2 скор'!S45+#REF!+#REF!</f>
        <v>#REF!</v>
      </c>
      <c r="T46" s="64" t="e">
        <f t="shared" si="5"/>
        <v>#REF!</v>
      </c>
      <c r="U46" s="63" t="e">
        <f>'Додаток2 скор'!U45+#REF!+#REF!</f>
        <v>#REF!</v>
      </c>
      <c r="V46" s="63" t="e">
        <f>'Додаток2 скор'!V45+#REF!+#REF!</f>
        <v>#REF!</v>
      </c>
      <c r="W46" s="69">
        <v>0</v>
      </c>
      <c r="X46" s="66">
        <v>0</v>
      </c>
      <c r="Y46" s="67">
        <v>0</v>
      </c>
      <c r="Z46" s="66">
        <v>0</v>
      </c>
      <c r="AA46" s="67">
        <v>0</v>
      </c>
      <c r="AB46" s="68">
        <v>0</v>
      </c>
      <c r="AC46" s="67">
        <v>0</v>
      </c>
      <c r="AD46" s="68">
        <v>0</v>
      </c>
      <c r="AE46" s="27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</row>
    <row r="47" spans="1:110" ht="17.25" customHeight="1">
      <c r="A47" s="29" t="s">
        <v>55</v>
      </c>
      <c r="B47" s="36" t="s">
        <v>56</v>
      </c>
      <c r="C47" s="62" t="s">
        <v>77</v>
      </c>
      <c r="D47" s="63" t="e">
        <f t="shared" si="0"/>
        <v>#REF!</v>
      </c>
      <c r="E47" s="63" t="e">
        <f>'Додаток2 скор'!E46+#REF!+#REF!</f>
        <v>#REF!</v>
      </c>
      <c r="F47" s="63" t="e">
        <f t="shared" si="1"/>
        <v>#REF!</v>
      </c>
      <c r="G47" s="63" t="e">
        <f>'Додаток2 скор'!G46+#REF!+#REF!</f>
        <v>#REF!</v>
      </c>
      <c r="H47" s="63" t="e">
        <f>'Додаток2 скор'!H46+#REF!+#REF!</f>
        <v>#REF!</v>
      </c>
      <c r="I47" s="63" t="e">
        <f>'Додаток2 скор'!I46+#REF!+#REF!</f>
        <v>#REF!</v>
      </c>
      <c r="J47" s="64" t="e">
        <f t="shared" si="2"/>
        <v>#REF!</v>
      </c>
      <c r="K47" s="63" t="e">
        <f>'Додаток2 скор'!K46+#REF!+#REF!</f>
        <v>#REF!</v>
      </c>
      <c r="L47" s="63" t="e">
        <f>'Додаток2 скор'!L46+#REF!+#REF!</f>
        <v>#REF!</v>
      </c>
      <c r="M47" s="63">
        <v>0</v>
      </c>
      <c r="N47" s="63">
        <v>0</v>
      </c>
      <c r="O47" s="64">
        <f t="shared" si="6"/>
        <v>0</v>
      </c>
      <c r="P47" s="63" t="e">
        <f>'Додаток2 скор'!P46+#REF!+#REF!</f>
        <v>#REF!</v>
      </c>
      <c r="Q47" s="63" t="e">
        <f>'Додаток2 скор'!Q46+#REF!+#REF!</f>
        <v>#REF!</v>
      </c>
      <c r="R47" s="63">
        <v>0</v>
      </c>
      <c r="S47" s="63">
        <v>0</v>
      </c>
      <c r="T47" s="64">
        <f t="shared" si="5"/>
        <v>0</v>
      </c>
      <c r="U47" s="63" t="e">
        <f>'Додаток2 скор'!U46+#REF!+#REF!</f>
        <v>#REF!</v>
      </c>
      <c r="V47" s="63" t="e">
        <f>'Додаток2 скор'!V46+#REF!+#REF!</f>
        <v>#REF!</v>
      </c>
      <c r="W47" s="69">
        <v>0</v>
      </c>
      <c r="X47" s="66">
        <v>0</v>
      </c>
      <c r="Y47" s="67">
        <v>0</v>
      </c>
      <c r="Z47" s="66">
        <v>0</v>
      </c>
      <c r="AA47" s="67">
        <v>0</v>
      </c>
      <c r="AB47" s="68">
        <v>0</v>
      </c>
      <c r="AC47" s="67">
        <v>0</v>
      </c>
      <c r="AD47" s="68">
        <v>0</v>
      </c>
      <c r="AE47" s="27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</row>
    <row r="48" spans="1:110" ht="16.5" customHeight="1">
      <c r="A48" s="29" t="s">
        <v>57</v>
      </c>
      <c r="B48" s="36" t="s">
        <v>96</v>
      </c>
      <c r="C48" s="62" t="s">
        <v>77</v>
      </c>
      <c r="D48" s="57" t="e">
        <f t="shared" si="0"/>
        <v>#REF!</v>
      </c>
      <c r="E48" s="63" t="e">
        <f>'Додаток2 скор'!E47+#REF!+#REF!</f>
        <v>#REF!</v>
      </c>
      <c r="F48" s="57" t="e">
        <f t="shared" si="1"/>
        <v>#REF!</v>
      </c>
      <c r="G48" s="63" t="e">
        <f>'Додаток2 скор'!G47+#REF!+#REF!</f>
        <v>#REF!</v>
      </c>
      <c r="H48" s="63" t="e">
        <f>'Додаток2 скор'!H47+#REF!+#REF!</f>
        <v>#REF!</v>
      </c>
      <c r="I48" s="63" t="e">
        <f>'Додаток2 скор'!I47+#REF!+#REF!</f>
        <v>#REF!</v>
      </c>
      <c r="J48" s="64" t="e">
        <f t="shared" si="2"/>
        <v>#REF!</v>
      </c>
      <c r="K48" s="63" t="e">
        <f>'Додаток2 скор'!K47+#REF!+#REF!</f>
        <v>#REF!</v>
      </c>
      <c r="L48" s="63" t="e">
        <f>'Додаток2 скор'!L47+#REF!+#REF!</f>
        <v>#REF!</v>
      </c>
      <c r="M48" s="63" t="e">
        <f>'Додаток2 скор'!M47+#REF!+#REF!</f>
        <v>#REF!</v>
      </c>
      <c r="N48" s="63" t="e">
        <f>'Додаток2 скор'!N47+#REF!+#REF!</f>
        <v>#REF!</v>
      </c>
      <c r="O48" s="64" t="e">
        <f>IF(M48=0,0,P48/M48)</f>
        <v>#REF!</v>
      </c>
      <c r="P48" s="63" t="e">
        <f>'Додаток2 скор'!P47+#REF!+#REF!</f>
        <v>#REF!</v>
      </c>
      <c r="Q48" s="63" t="e">
        <f>'Додаток2 скор'!Q47+#REF!+#REF!</f>
        <v>#REF!</v>
      </c>
      <c r="R48" s="63" t="e">
        <f>'Додаток2 скор'!R47+#REF!+#REF!</f>
        <v>#REF!</v>
      </c>
      <c r="S48" s="63" t="e">
        <f>'Додаток2 скор'!S47+#REF!+#REF!</f>
        <v>#REF!</v>
      </c>
      <c r="T48" s="64" t="e">
        <f>IF(R48=0,0,U48/R48)</f>
        <v>#REF!</v>
      </c>
      <c r="U48" s="63" t="e">
        <f>'Додаток2 скор'!U47+#REF!+#REF!</f>
        <v>#REF!</v>
      </c>
      <c r="V48" s="63" t="e">
        <f>'Додаток2 скор'!V47+#REF!+#REF!</f>
        <v>#REF!</v>
      </c>
      <c r="W48" s="69">
        <v>0</v>
      </c>
      <c r="X48" s="66">
        <v>0</v>
      </c>
      <c r="Y48" s="67">
        <v>0</v>
      </c>
      <c r="Z48" s="66">
        <v>0</v>
      </c>
      <c r="AA48" s="67">
        <v>0</v>
      </c>
      <c r="AB48" s="68">
        <v>0</v>
      </c>
      <c r="AC48" s="67">
        <v>0</v>
      </c>
      <c r="AD48" s="68">
        <v>0</v>
      </c>
      <c r="AE48" s="27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</row>
    <row r="49" spans="1:31" s="28" customFormat="1" ht="33" customHeight="1">
      <c r="A49" s="11">
        <v>8</v>
      </c>
      <c r="B49" s="55" t="s">
        <v>97</v>
      </c>
      <c r="C49" s="56" t="s">
        <v>77</v>
      </c>
      <c r="D49" s="57" t="e">
        <f t="shared" si="0"/>
        <v>#REF!</v>
      </c>
      <c r="E49" s="57" t="e">
        <f>'Додаток2 скор'!E48+#REF!+#REF!</f>
        <v>#REF!</v>
      </c>
      <c r="F49" s="57" t="e">
        <f t="shared" si="1"/>
        <v>#REF!</v>
      </c>
      <c r="G49" s="57" t="e">
        <f>'Додаток2 скор'!G48+#REF!+#REF!</f>
        <v>#REF!</v>
      </c>
      <c r="H49" s="57" t="e">
        <f>H42+H43</f>
        <v>#REF!</v>
      </c>
      <c r="I49" s="57" t="e">
        <f>'Додаток2 скор'!I48+#REF!+#REF!</f>
        <v>#REF!</v>
      </c>
      <c r="J49" s="58" t="e">
        <f>IF(H49=0,0,K49/H49)</f>
        <v>#REF!</v>
      </c>
      <c r="K49" s="57" t="e">
        <f>K42+K43</f>
        <v>#REF!</v>
      </c>
      <c r="L49" s="57" t="e">
        <f>L42+L43</f>
        <v>#REF!</v>
      </c>
      <c r="M49" s="57" t="e">
        <f>M42+M43</f>
        <v>#REF!</v>
      </c>
      <c r="N49" s="57" t="e">
        <f>N42+N43</f>
        <v>#REF!</v>
      </c>
      <c r="O49" s="58" t="e">
        <f>P49/M49</f>
        <v>#REF!</v>
      </c>
      <c r="P49" s="57" t="e">
        <f>P42+P43</f>
        <v>#REF!</v>
      </c>
      <c r="Q49" s="57" t="e">
        <f>Q42+Q43</f>
        <v>#REF!</v>
      </c>
      <c r="R49" s="57" t="e">
        <f>R42+R43</f>
        <v>#REF!</v>
      </c>
      <c r="S49" s="57" t="e">
        <f>S42+S43</f>
        <v>#REF!</v>
      </c>
      <c r="T49" s="58" t="e">
        <f>U49/R49</f>
        <v>#REF!</v>
      </c>
      <c r="U49" s="57" t="e">
        <f>U42+U43</f>
        <v>#REF!</v>
      </c>
      <c r="V49" s="57" t="e">
        <f>V42+V43</f>
        <v>#REF!</v>
      </c>
      <c r="W49" s="78">
        <v>19399.56</v>
      </c>
      <c r="X49" s="60">
        <v>316.46</v>
      </c>
      <c r="Y49" s="61">
        <v>13189.5</v>
      </c>
      <c r="Z49" s="60">
        <v>252.78</v>
      </c>
      <c r="AA49" s="61">
        <v>4924.47</v>
      </c>
      <c r="AB49" s="60">
        <v>680.64</v>
      </c>
      <c r="AC49" s="61">
        <v>1285.59</v>
      </c>
      <c r="AD49" s="60">
        <v>680.64</v>
      </c>
      <c r="AE49" s="27" t="e">
        <f>((V49*U51)+(Q49*P51)+(I49*H51))/F51</f>
        <v>#REF!</v>
      </c>
    </row>
    <row r="50" spans="1:31" s="28" customFormat="1" ht="22.5" customHeight="1">
      <c r="A50" s="11">
        <v>9</v>
      </c>
      <c r="B50" s="55" t="s">
        <v>98</v>
      </c>
      <c r="C50" s="38"/>
      <c r="D50" s="57"/>
      <c r="E50" s="57" t="e">
        <f>E49</f>
        <v>#REF!</v>
      </c>
      <c r="F50" s="57"/>
      <c r="G50" s="57" t="e">
        <f>G49</f>
        <v>#REF!</v>
      </c>
      <c r="H50" s="57"/>
      <c r="I50" s="57" t="e">
        <f>I49</f>
        <v>#REF!</v>
      </c>
      <c r="J50" s="58" t="e">
        <f>L50/I50</f>
        <v>#REF!</v>
      </c>
      <c r="K50" s="57"/>
      <c r="L50" s="57" t="e">
        <f>L49</f>
        <v>#REF!</v>
      </c>
      <c r="M50" s="57"/>
      <c r="N50" s="57" t="e">
        <f>N49</f>
        <v>#REF!</v>
      </c>
      <c r="O50" s="58" t="e">
        <f>Q50/N50</f>
        <v>#REF!</v>
      </c>
      <c r="P50" s="57"/>
      <c r="Q50" s="57" t="e">
        <f>Q49</f>
        <v>#REF!</v>
      </c>
      <c r="R50" s="57"/>
      <c r="S50" s="57" t="e">
        <f>S49</f>
        <v>#REF!</v>
      </c>
      <c r="T50" s="58" t="e">
        <f>V50/S50</f>
        <v>#REF!</v>
      </c>
      <c r="U50" s="57"/>
      <c r="V50" s="57" t="e">
        <f>V49</f>
        <v>#REF!</v>
      </c>
      <c r="W50" s="79">
        <v>316.46</v>
      </c>
      <c r="X50" s="60">
        <v>316.46</v>
      </c>
      <c r="Y50" s="60">
        <v>252.78</v>
      </c>
      <c r="Z50" s="60">
        <v>252.78</v>
      </c>
      <c r="AA50" s="60">
        <v>680.64</v>
      </c>
      <c r="AB50" s="60">
        <v>680.64</v>
      </c>
      <c r="AC50" s="60">
        <v>680.64</v>
      </c>
      <c r="AD50" s="60">
        <v>680.64</v>
      </c>
      <c r="AE50" s="27" t="e">
        <f>((S49*R51)+(N49*M51)+(I49*H51))/D51</f>
        <v>#REF!</v>
      </c>
    </row>
    <row r="51" spans="1:22" s="28" customFormat="1" ht="30" customHeight="1">
      <c r="A51" s="11">
        <v>10</v>
      </c>
      <c r="B51" s="55" t="s">
        <v>59</v>
      </c>
      <c r="C51" s="56" t="s">
        <v>99</v>
      </c>
      <c r="D51" s="57">
        <f>H51+M51+R51</f>
        <v>211940.33</v>
      </c>
      <c r="E51" s="57"/>
      <c r="F51" s="57">
        <f>K51+P51+U51</f>
        <v>211940.33</v>
      </c>
      <c r="G51" s="57"/>
      <c r="H51" s="57">
        <f>'Додаток2 скор'!H50</f>
        <v>150928.68</v>
      </c>
      <c r="I51" s="57"/>
      <c r="J51" s="58">
        <f>K51/H51</f>
        <v>1</v>
      </c>
      <c r="K51" s="57">
        <f>'Додаток2 скор'!K50</f>
        <v>150928.68</v>
      </c>
      <c r="L51" s="57"/>
      <c r="M51" s="57">
        <f>'Додаток2 скор'!M50</f>
        <v>50456.09</v>
      </c>
      <c r="N51" s="57"/>
      <c r="O51" s="58">
        <f>P51/M51</f>
        <v>1</v>
      </c>
      <c r="P51" s="57">
        <f>'Додаток2 скор'!P50</f>
        <v>50456.09</v>
      </c>
      <c r="Q51" s="57"/>
      <c r="R51" s="57">
        <f>'Додаток2 скор'!R50</f>
        <v>10555.56</v>
      </c>
      <c r="S51" s="57"/>
      <c r="T51" s="58">
        <f>U51/R51</f>
        <v>1</v>
      </c>
      <c r="U51" s="57">
        <f>'Додаток2 скор'!U50</f>
        <v>10555.56</v>
      </c>
      <c r="V51" s="57"/>
    </row>
    <row r="52" spans="1:22" s="28" customFormat="1" ht="21.75" customHeight="1">
      <c r="A52" s="11">
        <v>11</v>
      </c>
      <c r="B52" s="55" t="s">
        <v>100</v>
      </c>
      <c r="C52" s="56"/>
      <c r="D52" s="57" t="e">
        <f>D43/D42*100</f>
        <v>#REF!</v>
      </c>
      <c r="E52" s="57" t="e">
        <f aca="true" t="shared" si="7" ref="E52:V52">E43/E42*100</f>
        <v>#REF!</v>
      </c>
      <c r="F52" s="57" t="e">
        <f t="shared" si="7"/>
        <v>#REF!</v>
      </c>
      <c r="G52" s="57" t="e">
        <f t="shared" si="7"/>
        <v>#REF!</v>
      </c>
      <c r="H52" s="57" t="e">
        <f t="shared" si="7"/>
        <v>#REF!</v>
      </c>
      <c r="I52" s="80" t="e">
        <f t="shared" si="7"/>
        <v>#REF!</v>
      </c>
      <c r="J52" s="58" t="e">
        <f>IF(H52=0,0,K52/H52)</f>
        <v>#REF!</v>
      </c>
      <c r="K52" s="57" t="e">
        <f>K43/K42*100</f>
        <v>#REF!</v>
      </c>
      <c r="L52" s="57" t="e">
        <f>L43/L42*100</f>
        <v>#REF!</v>
      </c>
      <c r="M52" s="57" t="e">
        <f t="shared" si="7"/>
        <v>#REF!</v>
      </c>
      <c r="N52" s="57" t="e">
        <f t="shared" si="7"/>
        <v>#REF!</v>
      </c>
      <c r="O52" s="58" t="e">
        <f>IF(M52=0,0,P52/M52)</f>
        <v>#REF!</v>
      </c>
      <c r="P52" s="57" t="e">
        <f t="shared" si="7"/>
        <v>#REF!</v>
      </c>
      <c r="Q52" s="57" t="e">
        <f t="shared" si="7"/>
        <v>#REF!</v>
      </c>
      <c r="R52" s="57" t="e">
        <f t="shared" si="7"/>
        <v>#REF!</v>
      </c>
      <c r="S52" s="57" t="e">
        <f t="shared" si="7"/>
        <v>#REF!</v>
      </c>
      <c r="T52" s="58" t="e">
        <f>IF(R52=0,0,U52/R52)</f>
        <v>#REF!</v>
      </c>
      <c r="U52" s="57" t="e">
        <f t="shared" si="7"/>
        <v>#REF!</v>
      </c>
      <c r="V52" s="57" t="e">
        <f t="shared" si="7"/>
        <v>#REF!</v>
      </c>
    </row>
    <row r="53" spans="1:22" s="28" customFormat="1" ht="21.75" customHeight="1">
      <c r="A53" s="11">
        <v>12</v>
      </c>
      <c r="B53" s="55" t="s">
        <v>101</v>
      </c>
      <c r="C53" s="56"/>
      <c r="D53" s="57"/>
      <c r="E53" s="57"/>
      <c r="F53" s="57"/>
      <c r="G53" s="57"/>
      <c r="H53" s="57"/>
      <c r="I53" s="81">
        <v>257.91</v>
      </c>
      <c r="J53" s="58"/>
      <c r="K53" s="57"/>
      <c r="L53" s="57">
        <f>I53</f>
        <v>257.91</v>
      </c>
      <c r="M53" s="57"/>
      <c r="N53" s="82">
        <v>835.36</v>
      </c>
      <c r="O53" s="58"/>
      <c r="P53" s="57"/>
      <c r="Q53" s="57">
        <f>N53</f>
        <v>835.36</v>
      </c>
      <c r="R53" s="57"/>
      <c r="S53" s="83">
        <v>835.36</v>
      </c>
      <c r="T53" s="58"/>
      <c r="U53" s="57">
        <f>S53</f>
        <v>835.36</v>
      </c>
      <c r="V53" s="57"/>
    </row>
    <row r="54" spans="1:22" s="84" customFormat="1" ht="20.25" customHeight="1">
      <c r="A54" s="239"/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R54" s="239"/>
      <c r="S54" s="239"/>
      <c r="T54" s="239"/>
      <c r="U54" s="239"/>
      <c r="V54" s="239"/>
    </row>
    <row r="55" spans="10:12" ht="12.75">
      <c r="J55" s="2"/>
      <c r="K55" s="2"/>
      <c r="L55" s="2"/>
    </row>
    <row r="56" spans="10:12" ht="12.75">
      <c r="J56" s="2"/>
      <c r="K56" s="2"/>
      <c r="L56" s="2"/>
    </row>
    <row r="57" spans="10:15" ht="12.75">
      <c r="J57" s="2"/>
      <c r="K57" s="2"/>
      <c r="L57" s="2"/>
      <c r="O57" s="2">
        <f>IF(M57=0,0,1)</f>
        <v>0</v>
      </c>
    </row>
  </sheetData>
  <sheetProtection selectLockedCells="1" selectUnlockedCells="1"/>
  <mergeCells count="24">
    <mergeCell ref="W4:X4"/>
    <mergeCell ref="Y4:Z4"/>
    <mergeCell ref="AA4:AB4"/>
    <mergeCell ref="AC4:AD4"/>
    <mergeCell ref="D5:E5"/>
    <mergeCell ref="F5:G5"/>
    <mergeCell ref="H5:I5"/>
    <mergeCell ref="K5:L5"/>
    <mergeCell ref="D4:G4"/>
    <mergeCell ref="H4:L4"/>
    <mergeCell ref="A54:O54"/>
    <mergeCell ref="R54:V54"/>
    <mergeCell ref="M5:N5"/>
    <mergeCell ref="P5:Q5"/>
    <mergeCell ref="R5:S5"/>
    <mergeCell ref="U5:V5"/>
    <mergeCell ref="A2:V2"/>
    <mergeCell ref="B3:N3"/>
    <mergeCell ref="R3:S3"/>
    <mergeCell ref="U3:V3"/>
    <mergeCell ref="A4:A6"/>
    <mergeCell ref="B4:B6"/>
    <mergeCell ref="M4:Q4"/>
    <mergeCell ref="R4:V4"/>
  </mergeCells>
  <printOptions horizontalCentered="1"/>
  <pageMargins left="0.15763888888888888" right="0.15763888888888888" top="0" bottom="0" header="0.5118055555555555" footer="0.5118055555555555"/>
  <pageSetup firstPageNumber="1" useFirstPageNumber="1"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DF51"/>
  <sheetViews>
    <sheetView zoomScale="70" zoomScaleNormal="70" zoomScaleSheetLayoutView="70" zoomScalePageLayoutView="0" workbookViewId="0" topLeftCell="A1">
      <pane xSplit="3" ySplit="7" topLeftCell="H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J16" sqref="J16"/>
    </sheetView>
  </sheetViews>
  <sheetFormatPr defaultColWidth="11.57421875" defaultRowHeight="12.75"/>
  <cols>
    <col min="1" max="1" width="8.57421875" style="2" customWidth="1"/>
    <col min="2" max="2" width="62.421875" style="2" customWidth="1"/>
    <col min="3" max="7" width="0" style="2" hidden="1" customWidth="1"/>
    <col min="8" max="8" width="11.28125" style="2" customWidth="1"/>
    <col min="9" max="9" width="10.28125" style="2" customWidth="1"/>
    <col min="10" max="10" width="8.8515625" style="46" customWidth="1"/>
    <col min="11" max="11" width="12.8515625" style="46" customWidth="1"/>
    <col min="12" max="12" width="13.140625" style="46" customWidth="1"/>
    <col min="13" max="13" width="11.8515625" style="2" customWidth="1"/>
    <col min="14" max="14" width="10.00390625" style="2" customWidth="1"/>
    <col min="15" max="15" width="8.8515625" style="2" customWidth="1"/>
    <col min="16" max="16" width="12.8515625" style="2" customWidth="1"/>
    <col min="17" max="17" width="13.140625" style="2" customWidth="1"/>
    <col min="18" max="18" width="11.00390625" style="2" customWidth="1"/>
    <col min="19" max="19" width="10.140625" style="2" customWidth="1"/>
    <col min="20" max="20" width="8.7109375" style="2" customWidth="1"/>
    <col min="21" max="21" width="13.8515625" style="2" customWidth="1"/>
    <col min="22" max="22" width="11.8515625" style="2" customWidth="1"/>
    <col min="23" max="30" width="0" style="2" hidden="1" customWidth="1"/>
    <col min="31" max="31" width="8.140625" style="2" customWidth="1"/>
    <col min="32" max="16384" width="11.57421875" style="2" customWidth="1"/>
  </cols>
  <sheetData>
    <row r="1" spans="1:22" ht="6.75" customHeight="1">
      <c r="A1" s="47"/>
      <c r="B1" s="5"/>
      <c r="C1" s="5"/>
      <c r="D1" s="5"/>
      <c r="E1" s="5"/>
      <c r="F1" s="5"/>
      <c r="G1" s="5"/>
      <c r="H1" s="5"/>
      <c r="I1" s="5"/>
      <c r="J1" s="48"/>
      <c r="K1" s="48"/>
      <c r="L1" s="48"/>
      <c r="M1" s="5"/>
      <c r="N1" s="48"/>
      <c r="O1" s="48"/>
      <c r="P1" s="48"/>
      <c r="Q1" s="48"/>
      <c r="R1" s="48"/>
      <c r="T1" s="48"/>
      <c r="U1" s="48"/>
      <c r="V1" s="48"/>
    </row>
    <row r="2" spans="1:22" ht="68.25" customHeight="1">
      <c r="A2" s="254" t="s">
        <v>102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</row>
    <row r="3" spans="1:22" ht="15.75">
      <c r="A3" s="49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50"/>
      <c r="P3" s="50"/>
      <c r="Q3" s="50"/>
      <c r="R3" s="256"/>
      <c r="S3" s="256"/>
      <c r="T3" s="50"/>
      <c r="U3" s="256" t="s">
        <v>0</v>
      </c>
      <c r="V3" s="256"/>
    </row>
    <row r="4" spans="1:110" ht="54" customHeight="1">
      <c r="A4" s="242" t="s">
        <v>1</v>
      </c>
      <c r="B4" s="242" t="s">
        <v>2</v>
      </c>
      <c r="C4" s="14" t="s">
        <v>65</v>
      </c>
      <c r="D4" s="242" t="s">
        <v>66</v>
      </c>
      <c r="E4" s="242"/>
      <c r="F4" s="242"/>
      <c r="G4" s="242"/>
      <c r="H4" s="242" t="s">
        <v>103</v>
      </c>
      <c r="I4" s="242"/>
      <c r="J4" s="242"/>
      <c r="K4" s="242"/>
      <c r="L4" s="242"/>
      <c r="M4" s="242" t="s">
        <v>68</v>
      </c>
      <c r="N4" s="242"/>
      <c r="O4" s="242"/>
      <c r="P4" s="242"/>
      <c r="Q4" s="242"/>
      <c r="R4" s="242" t="s">
        <v>69</v>
      </c>
      <c r="S4" s="242"/>
      <c r="T4" s="242"/>
      <c r="U4" s="242"/>
      <c r="V4" s="242"/>
      <c r="W4" s="257" t="s">
        <v>70</v>
      </c>
      <c r="X4" s="257"/>
      <c r="Y4" s="257" t="s">
        <v>4</v>
      </c>
      <c r="Z4" s="257"/>
      <c r="AA4" s="257" t="s">
        <v>71</v>
      </c>
      <c r="AB4" s="257"/>
      <c r="AC4" s="257" t="s">
        <v>72</v>
      </c>
      <c r="AD4" s="257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</row>
    <row r="5" spans="1:110" ht="46.5" customHeight="1">
      <c r="A5" s="242"/>
      <c r="B5" s="242"/>
      <c r="C5" s="51"/>
      <c r="D5" s="242" t="s">
        <v>73</v>
      </c>
      <c r="E5" s="242"/>
      <c r="F5" s="242" t="s">
        <v>74</v>
      </c>
      <c r="G5" s="242"/>
      <c r="H5" s="242" t="s">
        <v>73</v>
      </c>
      <c r="I5" s="242"/>
      <c r="J5" s="11" t="s">
        <v>75</v>
      </c>
      <c r="K5" s="242" t="s">
        <v>74</v>
      </c>
      <c r="L5" s="242"/>
      <c r="M5" s="242" t="s">
        <v>73</v>
      </c>
      <c r="N5" s="242"/>
      <c r="O5" s="11" t="s">
        <v>75</v>
      </c>
      <c r="P5" s="242" t="s">
        <v>74</v>
      </c>
      <c r="Q5" s="242"/>
      <c r="R5" s="242" t="s">
        <v>73</v>
      </c>
      <c r="S5" s="242"/>
      <c r="T5" s="11" t="s">
        <v>75</v>
      </c>
      <c r="U5" s="242" t="s">
        <v>74</v>
      </c>
      <c r="V5" s="242"/>
      <c r="W5" s="15"/>
      <c r="X5" s="52"/>
      <c r="Y5" s="15"/>
      <c r="Z5" s="52"/>
      <c r="AA5" s="15"/>
      <c r="AB5" s="52"/>
      <c r="AC5" s="15"/>
      <c r="AD5" s="52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</row>
    <row r="6" spans="1:110" ht="36.75" customHeight="1">
      <c r="A6" s="242"/>
      <c r="B6" s="242"/>
      <c r="C6" s="51"/>
      <c r="D6" s="53" t="s">
        <v>7</v>
      </c>
      <c r="E6" s="53" t="s">
        <v>8</v>
      </c>
      <c r="F6" s="53" t="s">
        <v>7</v>
      </c>
      <c r="G6" s="53" t="s">
        <v>8</v>
      </c>
      <c r="H6" s="53" t="s">
        <v>7</v>
      </c>
      <c r="I6" s="53" t="s">
        <v>8</v>
      </c>
      <c r="J6" s="17" t="s">
        <v>76</v>
      </c>
      <c r="K6" s="17" t="s">
        <v>7</v>
      </c>
      <c r="L6" s="17" t="s">
        <v>8</v>
      </c>
      <c r="M6" s="53" t="s">
        <v>7</v>
      </c>
      <c r="N6" s="17" t="s">
        <v>8</v>
      </c>
      <c r="O6" s="17" t="s">
        <v>76</v>
      </c>
      <c r="P6" s="17" t="s">
        <v>7</v>
      </c>
      <c r="Q6" s="17" t="s">
        <v>8</v>
      </c>
      <c r="R6" s="17" t="s">
        <v>7</v>
      </c>
      <c r="S6" s="17" t="s">
        <v>8</v>
      </c>
      <c r="T6" s="17" t="s">
        <v>76</v>
      </c>
      <c r="U6" s="17" t="s">
        <v>7</v>
      </c>
      <c r="V6" s="17" t="s">
        <v>8</v>
      </c>
      <c r="W6" s="17" t="s">
        <v>9</v>
      </c>
      <c r="X6" s="17" t="s">
        <v>8</v>
      </c>
      <c r="Y6" s="17" t="s">
        <v>9</v>
      </c>
      <c r="Z6" s="17" t="s">
        <v>8</v>
      </c>
      <c r="AA6" s="17" t="s">
        <v>9</v>
      </c>
      <c r="AB6" s="17" t="s">
        <v>8</v>
      </c>
      <c r="AC6" s="17" t="s">
        <v>9</v>
      </c>
      <c r="AD6" s="17" t="s">
        <v>8</v>
      </c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</row>
    <row r="7" spans="1:110" ht="15.75" customHeight="1">
      <c r="A7" s="20">
        <v>1</v>
      </c>
      <c r="B7" s="20">
        <v>2</v>
      </c>
      <c r="C7" s="54">
        <v>3</v>
      </c>
      <c r="D7" s="54">
        <v>3</v>
      </c>
      <c r="E7" s="54">
        <v>4</v>
      </c>
      <c r="F7" s="54">
        <v>5</v>
      </c>
      <c r="G7" s="54">
        <v>6</v>
      </c>
      <c r="H7" s="54">
        <v>3</v>
      </c>
      <c r="I7" s="54">
        <v>4</v>
      </c>
      <c r="J7" s="54">
        <v>5</v>
      </c>
      <c r="K7" s="54">
        <v>6</v>
      </c>
      <c r="L7" s="54">
        <v>7</v>
      </c>
      <c r="M7" s="54">
        <v>8</v>
      </c>
      <c r="N7" s="54">
        <v>9</v>
      </c>
      <c r="O7" s="54">
        <v>10</v>
      </c>
      <c r="P7" s="54">
        <v>11</v>
      </c>
      <c r="Q7" s="54">
        <v>12</v>
      </c>
      <c r="R7" s="54">
        <v>13</v>
      </c>
      <c r="S7" s="54">
        <v>14</v>
      </c>
      <c r="T7" s="54">
        <v>15</v>
      </c>
      <c r="U7" s="54">
        <v>16</v>
      </c>
      <c r="V7" s="54">
        <v>17</v>
      </c>
      <c r="W7" s="54">
        <v>3</v>
      </c>
      <c r="X7" s="54">
        <v>4</v>
      </c>
      <c r="Y7" s="54">
        <v>5</v>
      </c>
      <c r="Z7" s="54">
        <v>6</v>
      </c>
      <c r="AA7" s="54">
        <v>7</v>
      </c>
      <c r="AB7" s="54">
        <v>8</v>
      </c>
      <c r="AC7" s="54">
        <v>9</v>
      </c>
      <c r="AD7" s="54">
        <v>10</v>
      </c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</row>
    <row r="8" spans="1:31" s="28" customFormat="1" ht="16.5" customHeight="1">
      <c r="A8" s="11">
        <v>1</v>
      </c>
      <c r="B8" s="55" t="s">
        <v>10</v>
      </c>
      <c r="C8" s="56" t="s">
        <v>77</v>
      </c>
      <c r="D8" s="88">
        <f>H8+M8+R8</f>
        <v>85863.94895600001</v>
      </c>
      <c r="E8" s="88">
        <f aca="true" t="shared" si="0" ref="E8:E47">D8/$D$50*1000</f>
        <v>405.13265670578136</v>
      </c>
      <c r="F8" s="88">
        <f>H8+P8+U8</f>
        <v>76926.08486269442</v>
      </c>
      <c r="G8" s="88">
        <f aca="true" t="shared" si="1" ref="G8:G16">F8/$D$50*1000</f>
        <v>362.96105070089504</v>
      </c>
      <c r="H8" s="57">
        <f>H9+H22+H23+H27</f>
        <v>42297.9333599672</v>
      </c>
      <c r="I8" s="57">
        <f>H8/$H$50*1000</f>
        <v>280.25113159385745</v>
      </c>
      <c r="J8" s="58">
        <f>K8/H8</f>
        <v>1</v>
      </c>
      <c r="K8" s="57">
        <f>K9+K22+K23+K27</f>
        <v>42297.9333599672</v>
      </c>
      <c r="L8" s="57">
        <f>K8/$K$50*1000</f>
        <v>280.25113159385745</v>
      </c>
      <c r="M8" s="57">
        <f>M9+M22+M23+M27</f>
        <v>36028.70543041673</v>
      </c>
      <c r="N8" s="57">
        <f>M8/$M$50*1000</f>
        <v>714.0605907119782</v>
      </c>
      <c r="O8" s="58">
        <f>P8/M8</f>
        <v>0.7687441417362081</v>
      </c>
      <c r="P8" s="57">
        <f>P9+P22+P23+P27</f>
        <v>27696.85623397237</v>
      </c>
      <c r="Q8" s="57">
        <f>P8/$M$50*1000</f>
        <v>548.9298959545293</v>
      </c>
      <c r="R8" s="57">
        <f>R9+R22+R23+R27</f>
        <v>7537.310165616074</v>
      </c>
      <c r="S8" s="57">
        <f>R8/$R$50*1000</f>
        <v>714.060662401244</v>
      </c>
      <c r="T8" s="58">
        <f>U8/R8</f>
        <v>0.9195979887326704</v>
      </c>
      <c r="U8" s="57">
        <f>U9+U22+U23+U27</f>
        <v>6931.295268754853</v>
      </c>
      <c r="V8" s="57">
        <f>U8/$R$50*1000</f>
        <v>656.6487489773023</v>
      </c>
      <c r="W8" s="59">
        <v>18463.34</v>
      </c>
      <c r="X8" s="60">
        <v>301.19</v>
      </c>
      <c r="Y8" s="61">
        <v>12392.62</v>
      </c>
      <c r="Z8" s="60">
        <v>237.51</v>
      </c>
      <c r="AA8" s="61">
        <v>4813.97</v>
      </c>
      <c r="AB8" s="60">
        <v>665.37</v>
      </c>
      <c r="AC8" s="61">
        <v>1256.74</v>
      </c>
      <c r="AD8" s="60">
        <v>665.37</v>
      </c>
      <c r="AE8" s="27"/>
    </row>
    <row r="9" spans="1:31" s="28" customFormat="1" ht="16.5" customHeight="1">
      <c r="A9" s="11" t="s">
        <v>11</v>
      </c>
      <c r="B9" s="55" t="s">
        <v>12</v>
      </c>
      <c r="C9" s="56" t="s">
        <v>77</v>
      </c>
      <c r="D9" s="88">
        <f aca="true" t="shared" si="2" ref="D9:D48">H9+M9+R9</f>
        <v>72735.26908000001</v>
      </c>
      <c r="E9" s="88">
        <f t="shared" si="0"/>
        <v>343.1874862136905</v>
      </c>
      <c r="F9" s="88">
        <f aca="true" t="shared" si="3" ref="F9:F48">H9+P9+U9</f>
        <v>63797.404986694426</v>
      </c>
      <c r="G9" s="88">
        <f t="shared" si="1"/>
        <v>301.0158802088042</v>
      </c>
      <c r="H9" s="57">
        <f>SUM(H10:H21)-H10-H14-H17</f>
        <v>32948.63054522098</v>
      </c>
      <c r="I9" s="57">
        <f>H9/$H$50*1000</f>
        <v>218.30596110176663</v>
      </c>
      <c r="J9" s="58">
        <f>K9/H9</f>
        <v>1</v>
      </c>
      <c r="K9" s="57">
        <f>SUM(K10:K21)-K10-K14-K17</f>
        <v>32948.63054522098</v>
      </c>
      <c r="L9" s="57">
        <f aca="true" t="shared" si="4" ref="L9:L47">K9/$K$50*1000</f>
        <v>218.30596110176663</v>
      </c>
      <c r="M9" s="57">
        <f>SUM(M10:M21)-M10-M14-M17</f>
        <v>32903.19433300245</v>
      </c>
      <c r="N9" s="57">
        <f>M9/$M$50*1000</f>
        <v>652.1154202198874</v>
      </c>
      <c r="O9" s="58">
        <f>P9/M9</f>
        <v>0.7467768900453724</v>
      </c>
      <c r="P9" s="57">
        <f>SUM(P10:P21)-P10-P14-P17</f>
        <v>24571.34513655809</v>
      </c>
      <c r="Q9" s="57">
        <f>P9/$M$50*1000</f>
        <v>486.9847254624386</v>
      </c>
      <c r="R9" s="57">
        <f>SUM(R10:R21)-R10-R14-R17</f>
        <v>6883.4442017765805</v>
      </c>
      <c r="S9" s="57">
        <f>R9/$R$50*1000</f>
        <v>652.1154919091532</v>
      </c>
      <c r="T9" s="58">
        <f>U9/R9</f>
        <v>0.9119605129210153</v>
      </c>
      <c r="U9" s="57">
        <f>SUM(U10:U21)-U10-U14-U17</f>
        <v>6277.429304915359</v>
      </c>
      <c r="V9" s="57">
        <f>U9/$R$50*1000</f>
        <v>594.7035784852116</v>
      </c>
      <c r="W9" s="59">
        <v>16016.67</v>
      </c>
      <c r="X9" s="60">
        <v>261.28</v>
      </c>
      <c r="Y9" s="61">
        <v>10310.1</v>
      </c>
      <c r="Z9" s="60">
        <v>197.59</v>
      </c>
      <c r="AA9" s="61">
        <v>4525.21</v>
      </c>
      <c r="AB9" s="60">
        <v>625.46</v>
      </c>
      <c r="AC9" s="61">
        <v>1181.36</v>
      </c>
      <c r="AD9" s="60">
        <v>625.46</v>
      </c>
      <c r="AE9" s="27"/>
    </row>
    <row r="10" spans="1:110" s="35" customFormat="1" ht="16.5" customHeight="1">
      <c r="A10" s="29" t="s">
        <v>13</v>
      </c>
      <c r="B10" s="36" t="s">
        <v>78</v>
      </c>
      <c r="C10" s="62" t="s">
        <v>77</v>
      </c>
      <c r="D10" s="89">
        <f t="shared" si="2"/>
        <v>63225</v>
      </c>
      <c r="E10" s="89">
        <f t="shared" si="0"/>
        <v>298.3150965179681</v>
      </c>
      <c r="F10" s="89">
        <f t="shared" si="3"/>
        <v>54287.13590669442</v>
      </c>
      <c r="G10" s="89">
        <f t="shared" si="1"/>
        <v>256.14349051308176</v>
      </c>
      <c r="H10" s="63">
        <f>H11+H12</f>
        <v>26176.1</v>
      </c>
      <c r="I10" s="63">
        <f>I11+I12</f>
        <v>173.43357140604422</v>
      </c>
      <c r="J10" s="64">
        <f>IF(H10=0,0,K10/H10)</f>
        <v>1</v>
      </c>
      <c r="K10" s="63">
        <f>K11+K12</f>
        <v>26176.1</v>
      </c>
      <c r="L10" s="63">
        <f t="shared" si="4"/>
        <v>173.43357140604422</v>
      </c>
      <c r="M10" s="63">
        <f>M11+M12</f>
        <v>30639.109</v>
      </c>
      <c r="N10" s="63">
        <f>N11+N12</f>
        <v>607.2430305241647</v>
      </c>
      <c r="O10" s="64">
        <f>IF(M10=0," ",P10/M10)</f>
        <v>0.7280648991312262</v>
      </c>
      <c r="P10" s="63">
        <f>P11+P12</f>
        <v>22307.259803555644</v>
      </c>
      <c r="Q10" s="63">
        <f>Q11+Q12</f>
        <v>442.1123357667161</v>
      </c>
      <c r="R10" s="63">
        <f>R11+R12</f>
        <v>6409.791</v>
      </c>
      <c r="S10" s="63">
        <f>S11+S12</f>
        <v>607.2431022134307</v>
      </c>
      <c r="T10" s="64">
        <f>IF(R10=0," ",U10/R10)</f>
        <v>0.9054548117308004</v>
      </c>
      <c r="U10" s="63">
        <f>U11+U12</f>
        <v>5803.776103138779</v>
      </c>
      <c r="V10" s="63">
        <f>V11+V12</f>
        <v>549.8311887894891</v>
      </c>
      <c r="W10" s="65">
        <v>13921.04</v>
      </c>
      <c r="X10" s="66">
        <v>227.09</v>
      </c>
      <c r="Y10" s="67">
        <v>8526.37</v>
      </c>
      <c r="Z10" s="66">
        <v>163.41</v>
      </c>
      <c r="AA10" s="67">
        <v>4277.88</v>
      </c>
      <c r="AB10" s="68">
        <v>591.28</v>
      </c>
      <c r="AC10" s="67">
        <v>1116.79</v>
      </c>
      <c r="AD10" s="68">
        <v>591.27</v>
      </c>
      <c r="AE10" s="27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</row>
    <row r="11" spans="1:110" s="35" customFormat="1" ht="16.5" customHeight="1">
      <c r="A11" s="29" t="s">
        <v>79</v>
      </c>
      <c r="B11" s="36" t="s">
        <v>80</v>
      </c>
      <c r="C11" s="62"/>
      <c r="D11" s="89">
        <f t="shared" si="2"/>
        <v>63225</v>
      </c>
      <c r="E11" s="89">
        <f t="shared" si="0"/>
        <v>298.3150965179681</v>
      </c>
      <c r="F11" s="89">
        <f t="shared" si="3"/>
        <v>54287.13590669442</v>
      </c>
      <c r="G11" s="89">
        <f t="shared" si="1"/>
        <v>256.14349051308176</v>
      </c>
      <c r="H11" s="90">
        <v>26176.1</v>
      </c>
      <c r="I11" s="63">
        <f>H11/$H$50*1000</f>
        <v>173.43357140604422</v>
      </c>
      <c r="J11" s="91">
        <v>1</v>
      </c>
      <c r="K11" s="63">
        <f>H11*J11</f>
        <v>26176.1</v>
      </c>
      <c r="L11" s="63">
        <f t="shared" si="4"/>
        <v>173.43357140604422</v>
      </c>
      <c r="M11" s="90">
        <v>30639.109</v>
      </c>
      <c r="N11" s="63">
        <f>M11/$M$50*1000</f>
        <v>607.2430305241647</v>
      </c>
      <c r="O11" s="91">
        <f>2783.96/3823.78</f>
        <v>0.7280648991312262</v>
      </c>
      <c r="P11" s="63">
        <f>M11*O11</f>
        <v>22307.259803555644</v>
      </c>
      <c r="Q11" s="63">
        <f>P11/$P$50*1000</f>
        <v>442.1123357667161</v>
      </c>
      <c r="R11" s="90">
        <v>6409.791</v>
      </c>
      <c r="S11" s="63">
        <f>R11/$R$50*1000</f>
        <v>607.2431022134307</v>
      </c>
      <c r="T11" s="91">
        <f>3462.26/3823.78</f>
        <v>0.9054548117308004</v>
      </c>
      <c r="U11" s="63">
        <f>R11*T11</f>
        <v>5803.776103138779</v>
      </c>
      <c r="V11" s="63">
        <f>U11/$U$50*1000</f>
        <v>549.8311887894891</v>
      </c>
      <c r="W11" s="65"/>
      <c r="X11" s="66"/>
      <c r="Y11" s="67"/>
      <c r="Z11" s="66"/>
      <c r="AA11" s="67"/>
      <c r="AB11" s="68"/>
      <c r="AC11" s="67"/>
      <c r="AD11" s="68"/>
      <c r="AE11" s="27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</row>
    <row r="12" spans="1:110" s="35" customFormat="1" ht="16.5" customHeight="1">
      <c r="A12" s="29" t="s">
        <v>81</v>
      </c>
      <c r="B12" s="36" t="s">
        <v>82</v>
      </c>
      <c r="C12" s="62"/>
      <c r="D12" s="89">
        <f t="shared" si="2"/>
        <v>0</v>
      </c>
      <c r="E12" s="89">
        <f t="shared" si="0"/>
        <v>0</v>
      </c>
      <c r="F12" s="89">
        <f t="shared" si="3"/>
        <v>0</v>
      </c>
      <c r="G12" s="89">
        <f t="shared" si="1"/>
        <v>0</v>
      </c>
      <c r="H12" s="90">
        <v>0</v>
      </c>
      <c r="I12" s="63">
        <f>H12/$H$50*1000</f>
        <v>0</v>
      </c>
      <c r="J12" s="64">
        <f>IF(H12=0,0,1)</f>
        <v>0</v>
      </c>
      <c r="K12" s="63">
        <f>H12*J12</f>
        <v>0</v>
      </c>
      <c r="L12" s="63">
        <f t="shared" si="4"/>
        <v>0</v>
      </c>
      <c r="M12" s="90">
        <v>0</v>
      </c>
      <c r="N12" s="63">
        <f>M12/$M$50*1000</f>
        <v>0</v>
      </c>
      <c r="O12" s="64">
        <f>IF(M12=0,0,1)</f>
        <v>0</v>
      </c>
      <c r="P12" s="63">
        <f>M12*O12</f>
        <v>0</v>
      </c>
      <c r="Q12" s="63">
        <f>P12/$P$50*1000</f>
        <v>0</v>
      </c>
      <c r="R12" s="90">
        <v>0</v>
      </c>
      <c r="S12" s="63">
        <f>R12/$R$50*1000</f>
        <v>0</v>
      </c>
      <c r="T12" s="64">
        <f>IF(R12=0,0,1)</f>
        <v>0</v>
      </c>
      <c r="U12" s="63">
        <f>R12*T12</f>
        <v>0</v>
      </c>
      <c r="V12" s="63">
        <f>U12/$U$50*1000</f>
        <v>0</v>
      </c>
      <c r="W12" s="65"/>
      <c r="X12" s="66"/>
      <c r="Y12" s="67"/>
      <c r="Z12" s="66"/>
      <c r="AA12" s="67"/>
      <c r="AB12" s="68"/>
      <c r="AC12" s="67"/>
      <c r="AD12" s="68"/>
      <c r="AE12" s="27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</row>
    <row r="13" spans="1:110" s="35" customFormat="1" ht="16.5" customHeight="1">
      <c r="A13" s="29" t="s">
        <v>15</v>
      </c>
      <c r="B13" s="36" t="s">
        <v>83</v>
      </c>
      <c r="C13" s="62" t="s">
        <v>77</v>
      </c>
      <c r="D13" s="89">
        <f t="shared" si="2"/>
        <v>8532.95379</v>
      </c>
      <c r="E13" s="89">
        <f t="shared" si="0"/>
        <v>40.26111401260911</v>
      </c>
      <c r="F13" s="89">
        <f t="shared" si="3"/>
        <v>8532.95379</v>
      </c>
      <c r="G13" s="89">
        <f t="shared" si="1"/>
        <v>40.26111401260911</v>
      </c>
      <c r="H13" s="90">
        <v>6076.556793252597</v>
      </c>
      <c r="I13" s="63">
        <f>H13/$H$50*1000</f>
        <v>40.26111401260911</v>
      </c>
      <c r="J13" s="64">
        <f>K13/H13</f>
        <v>1</v>
      </c>
      <c r="K13" s="63">
        <f>H13</f>
        <v>6076.556793252597</v>
      </c>
      <c r="L13" s="63">
        <f t="shared" si="4"/>
        <v>40.26111401260911</v>
      </c>
      <c r="M13" s="90">
        <v>2031.4183921204665</v>
      </c>
      <c r="N13" s="63">
        <f>M13/$M$50*1000</f>
        <v>40.26111401260911</v>
      </c>
      <c r="O13" s="64">
        <f>P13/M13</f>
        <v>1</v>
      </c>
      <c r="P13" s="63">
        <f>M13</f>
        <v>2031.4183921204665</v>
      </c>
      <c r="Q13" s="63">
        <f>P13/$P$50*1000</f>
        <v>40.26111401260911</v>
      </c>
      <c r="R13" s="90">
        <v>424.97860462693626</v>
      </c>
      <c r="S13" s="63">
        <f>R13/$R$50*1000</f>
        <v>40.26111401260911</v>
      </c>
      <c r="T13" s="64">
        <f>U13/R13</f>
        <v>1</v>
      </c>
      <c r="U13" s="63">
        <f>R13</f>
        <v>424.97860462693626</v>
      </c>
      <c r="V13" s="63">
        <f>U13/$U$50*1000</f>
        <v>40.26111401260911</v>
      </c>
      <c r="W13" s="69">
        <v>1850</v>
      </c>
      <c r="X13" s="66">
        <v>30.18</v>
      </c>
      <c r="Y13" s="67">
        <v>1574.65</v>
      </c>
      <c r="Z13" s="66">
        <v>30.18</v>
      </c>
      <c r="AA13" s="67">
        <v>218.34</v>
      </c>
      <c r="AB13" s="68">
        <v>30.18</v>
      </c>
      <c r="AC13" s="67">
        <v>57</v>
      </c>
      <c r="AD13" s="68">
        <v>30.18</v>
      </c>
      <c r="AE13" s="27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</row>
    <row r="14" spans="1:110" s="35" customFormat="1" ht="21" customHeight="1">
      <c r="A14" s="29" t="s">
        <v>17</v>
      </c>
      <c r="B14" s="36" t="s">
        <v>84</v>
      </c>
      <c r="C14" s="62" t="s">
        <v>77</v>
      </c>
      <c r="D14" s="89">
        <f t="shared" si="2"/>
        <v>0</v>
      </c>
      <c r="E14" s="89">
        <f t="shared" si="0"/>
        <v>0</v>
      </c>
      <c r="F14" s="89">
        <f t="shared" si="3"/>
        <v>0</v>
      </c>
      <c r="G14" s="89">
        <f t="shared" si="1"/>
        <v>0</v>
      </c>
      <c r="H14" s="63">
        <f>H15+H16</f>
        <v>0</v>
      </c>
      <c r="I14" s="63">
        <f aca="true" t="shared" si="5" ref="I14:V14">I15+I16</f>
        <v>0</v>
      </c>
      <c r="J14" s="64">
        <f>IF(H14=0,0,K14/H14)</f>
        <v>0</v>
      </c>
      <c r="K14" s="63">
        <f>K15+K16</f>
        <v>0</v>
      </c>
      <c r="L14" s="63">
        <f t="shared" si="4"/>
        <v>0</v>
      </c>
      <c r="M14" s="63">
        <f t="shared" si="5"/>
        <v>0</v>
      </c>
      <c r="N14" s="63">
        <f t="shared" si="5"/>
        <v>0</v>
      </c>
      <c r="O14" s="64">
        <f>IF(M14=0,0,P14/M14)</f>
        <v>0</v>
      </c>
      <c r="P14" s="63">
        <f t="shared" si="5"/>
        <v>0</v>
      </c>
      <c r="Q14" s="63">
        <f t="shared" si="5"/>
        <v>0</v>
      </c>
      <c r="R14" s="63">
        <f t="shared" si="5"/>
        <v>0</v>
      </c>
      <c r="S14" s="63">
        <f t="shared" si="5"/>
        <v>0</v>
      </c>
      <c r="T14" s="64">
        <f>IF(R14=0,0,U14/R14)</f>
        <v>0</v>
      </c>
      <c r="U14" s="63">
        <f t="shared" si="5"/>
        <v>0</v>
      </c>
      <c r="V14" s="63">
        <f t="shared" si="5"/>
        <v>0</v>
      </c>
      <c r="W14" s="69">
        <v>0</v>
      </c>
      <c r="X14" s="66">
        <v>0</v>
      </c>
      <c r="Y14" s="67">
        <v>0</v>
      </c>
      <c r="Z14" s="66">
        <v>0</v>
      </c>
      <c r="AA14" s="67">
        <v>0</v>
      </c>
      <c r="AB14" s="68">
        <v>0</v>
      </c>
      <c r="AC14" s="67">
        <v>0</v>
      </c>
      <c r="AD14" s="68">
        <v>0</v>
      </c>
      <c r="AE14" s="27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</row>
    <row r="15" spans="1:110" s="35" customFormat="1" ht="15.75" customHeight="1">
      <c r="A15" s="29" t="s">
        <v>85</v>
      </c>
      <c r="B15" s="36"/>
      <c r="C15" s="62"/>
      <c r="D15" s="89">
        <f t="shared" si="2"/>
        <v>0</v>
      </c>
      <c r="E15" s="89">
        <f t="shared" si="0"/>
        <v>0</v>
      </c>
      <c r="F15" s="89">
        <f t="shared" si="3"/>
        <v>0</v>
      </c>
      <c r="G15" s="89">
        <f t="shared" si="1"/>
        <v>0</v>
      </c>
      <c r="H15" s="90">
        <v>0</v>
      </c>
      <c r="I15" s="63">
        <f aca="true" t="shared" si="6" ref="I15:I22">H15/$H$50*1000</f>
        <v>0</v>
      </c>
      <c r="J15" s="91">
        <v>0</v>
      </c>
      <c r="K15" s="63">
        <f>H15*J15</f>
        <v>0</v>
      </c>
      <c r="L15" s="63">
        <f t="shared" si="4"/>
        <v>0</v>
      </c>
      <c r="M15" s="90">
        <v>0</v>
      </c>
      <c r="N15" s="63">
        <f aca="true" t="shared" si="7" ref="N15:N47">M15/$M$50*1000</f>
        <v>0</v>
      </c>
      <c r="O15" s="91">
        <v>0</v>
      </c>
      <c r="P15" s="63">
        <f>M15*O15</f>
        <v>0</v>
      </c>
      <c r="Q15" s="63">
        <f aca="true" t="shared" si="8" ref="Q15:Q47">P15/$P$50*1000</f>
        <v>0</v>
      </c>
      <c r="R15" s="90">
        <v>0</v>
      </c>
      <c r="S15" s="63">
        <f>R15/$R$50*1000</f>
        <v>0</v>
      </c>
      <c r="T15" s="91">
        <v>0</v>
      </c>
      <c r="U15" s="63">
        <f>R15*T15</f>
        <v>0</v>
      </c>
      <c r="V15" s="63">
        <f>U15/$U$50*1000</f>
        <v>0</v>
      </c>
      <c r="W15" s="69"/>
      <c r="X15" s="66"/>
      <c r="Y15" s="67"/>
      <c r="Z15" s="66"/>
      <c r="AA15" s="67"/>
      <c r="AB15" s="68"/>
      <c r="AC15" s="67"/>
      <c r="AD15" s="68"/>
      <c r="AE15" s="27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</row>
    <row r="16" spans="1:110" s="35" customFormat="1" ht="15.75" customHeight="1">
      <c r="A16" s="29" t="s">
        <v>86</v>
      </c>
      <c r="B16" s="36"/>
      <c r="C16" s="62"/>
      <c r="D16" s="89">
        <f t="shared" si="2"/>
        <v>0</v>
      </c>
      <c r="E16" s="89">
        <f t="shared" si="0"/>
        <v>0</v>
      </c>
      <c r="F16" s="89">
        <f t="shared" si="3"/>
        <v>0</v>
      </c>
      <c r="G16" s="89">
        <f t="shared" si="1"/>
        <v>0</v>
      </c>
      <c r="H16" s="90">
        <v>0</v>
      </c>
      <c r="I16" s="63">
        <f t="shared" si="6"/>
        <v>0</v>
      </c>
      <c r="J16" s="91">
        <v>0</v>
      </c>
      <c r="K16" s="63">
        <f>H16*J16</f>
        <v>0</v>
      </c>
      <c r="L16" s="63">
        <f t="shared" si="4"/>
        <v>0</v>
      </c>
      <c r="M16" s="90">
        <v>0</v>
      </c>
      <c r="N16" s="63">
        <f t="shared" si="7"/>
        <v>0</v>
      </c>
      <c r="O16" s="91">
        <v>0</v>
      </c>
      <c r="P16" s="63">
        <f>M16*O16</f>
        <v>0</v>
      </c>
      <c r="Q16" s="63">
        <f t="shared" si="8"/>
        <v>0</v>
      </c>
      <c r="R16" s="90">
        <v>0</v>
      </c>
      <c r="S16" s="63">
        <f>R16/$R$50*1000</f>
        <v>0</v>
      </c>
      <c r="T16" s="91">
        <v>0</v>
      </c>
      <c r="U16" s="63">
        <f>R16*T16</f>
        <v>0</v>
      </c>
      <c r="V16" s="63">
        <f>U16/$U$50*1000</f>
        <v>0</v>
      </c>
      <c r="W16" s="69"/>
      <c r="X16" s="66"/>
      <c r="Y16" s="67"/>
      <c r="Z16" s="66"/>
      <c r="AA16" s="67"/>
      <c r="AB16" s="68"/>
      <c r="AC16" s="67"/>
      <c r="AD16" s="68"/>
      <c r="AE16" s="27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</row>
    <row r="17" spans="1:110" s="35" customFormat="1" ht="15.75" customHeight="1">
      <c r="A17" s="29" t="s">
        <v>19</v>
      </c>
      <c r="B17" s="36" t="s">
        <v>87</v>
      </c>
      <c r="C17" s="62"/>
      <c r="D17" s="89">
        <f t="shared" si="2"/>
        <v>0</v>
      </c>
      <c r="E17" s="89">
        <f t="shared" si="0"/>
        <v>0</v>
      </c>
      <c r="F17" s="89">
        <f aca="true" t="shared" si="9" ref="F17:V17">F18+F19</f>
        <v>0</v>
      </c>
      <c r="G17" s="89">
        <f>G18+G19</f>
        <v>0</v>
      </c>
      <c r="H17" s="63">
        <f t="shared" si="9"/>
        <v>0</v>
      </c>
      <c r="I17" s="63">
        <f t="shared" si="6"/>
        <v>0</v>
      </c>
      <c r="J17" s="64">
        <f>IF(H17=0,0,K17/H17)</f>
        <v>0</v>
      </c>
      <c r="K17" s="63">
        <f>K18+K19</f>
        <v>0</v>
      </c>
      <c r="L17" s="63">
        <f t="shared" si="4"/>
        <v>0</v>
      </c>
      <c r="M17" s="63">
        <f t="shared" si="9"/>
        <v>0</v>
      </c>
      <c r="N17" s="63">
        <f t="shared" si="7"/>
        <v>0</v>
      </c>
      <c r="O17" s="64">
        <f>IF(M17=0,0,P17/M17)</f>
        <v>0</v>
      </c>
      <c r="P17" s="63">
        <f t="shared" si="9"/>
        <v>0</v>
      </c>
      <c r="Q17" s="63">
        <f t="shared" si="8"/>
        <v>0</v>
      </c>
      <c r="R17" s="63">
        <f t="shared" si="9"/>
        <v>0</v>
      </c>
      <c r="S17" s="63">
        <f t="shared" si="9"/>
        <v>0</v>
      </c>
      <c r="T17" s="64">
        <f>IF(R17=0,0,U17/R17)</f>
        <v>0</v>
      </c>
      <c r="U17" s="63">
        <f t="shared" si="9"/>
        <v>0</v>
      </c>
      <c r="V17" s="63">
        <f t="shared" si="9"/>
        <v>0</v>
      </c>
      <c r="W17" s="69"/>
      <c r="X17" s="66"/>
      <c r="Y17" s="67"/>
      <c r="Z17" s="66"/>
      <c r="AA17" s="67"/>
      <c r="AB17" s="68"/>
      <c r="AC17" s="67"/>
      <c r="AD17" s="68"/>
      <c r="AE17" s="27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</row>
    <row r="18" spans="1:110" s="35" customFormat="1" ht="15.75" customHeight="1">
      <c r="A18" s="29" t="s">
        <v>88</v>
      </c>
      <c r="B18" s="36"/>
      <c r="C18" s="62"/>
      <c r="D18" s="89">
        <f t="shared" si="2"/>
        <v>0</v>
      </c>
      <c r="E18" s="89">
        <f t="shared" si="0"/>
        <v>0</v>
      </c>
      <c r="F18" s="89">
        <f t="shared" si="3"/>
        <v>0</v>
      </c>
      <c r="G18" s="89">
        <f aca="true" t="shared" si="10" ref="G18:G40">F18/$D$50*1000</f>
        <v>0</v>
      </c>
      <c r="H18" s="90"/>
      <c r="I18" s="63">
        <f t="shared" si="6"/>
        <v>0</v>
      </c>
      <c r="J18" s="91">
        <v>0</v>
      </c>
      <c r="K18" s="63">
        <f>H18*J18</f>
        <v>0</v>
      </c>
      <c r="L18" s="63">
        <f t="shared" si="4"/>
        <v>0</v>
      </c>
      <c r="M18" s="90"/>
      <c r="N18" s="63">
        <f t="shared" si="7"/>
        <v>0</v>
      </c>
      <c r="O18" s="91">
        <v>0</v>
      </c>
      <c r="P18" s="63">
        <f>M18*O18</f>
        <v>0</v>
      </c>
      <c r="Q18" s="63">
        <f t="shared" si="8"/>
        <v>0</v>
      </c>
      <c r="R18" s="90"/>
      <c r="S18" s="63">
        <f aca="true" t="shared" si="11" ref="S18:S47">R18/$R$50*1000</f>
        <v>0</v>
      </c>
      <c r="T18" s="91">
        <v>0</v>
      </c>
      <c r="U18" s="63">
        <f>R18*T18</f>
        <v>0</v>
      </c>
      <c r="V18" s="63">
        <f aca="true" t="shared" si="12" ref="V18:V47">U18/$U$50*1000</f>
        <v>0</v>
      </c>
      <c r="W18" s="69"/>
      <c r="X18" s="66"/>
      <c r="Y18" s="67"/>
      <c r="Z18" s="66"/>
      <c r="AA18" s="67"/>
      <c r="AB18" s="68"/>
      <c r="AC18" s="67"/>
      <c r="AD18" s="68"/>
      <c r="AE18" s="27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</row>
    <row r="19" spans="1:110" s="35" customFormat="1" ht="15.75" customHeight="1">
      <c r="A19" s="29" t="s">
        <v>89</v>
      </c>
      <c r="B19" s="36"/>
      <c r="C19" s="62"/>
      <c r="D19" s="89">
        <f t="shared" si="2"/>
        <v>0</v>
      </c>
      <c r="E19" s="89">
        <f t="shared" si="0"/>
        <v>0</v>
      </c>
      <c r="F19" s="89">
        <f t="shared" si="3"/>
        <v>0</v>
      </c>
      <c r="G19" s="89">
        <f t="shared" si="10"/>
        <v>0</v>
      </c>
      <c r="H19" s="90"/>
      <c r="I19" s="63">
        <f t="shared" si="6"/>
        <v>0</v>
      </c>
      <c r="J19" s="64">
        <f>IF(H19=0,0,1)</f>
        <v>0</v>
      </c>
      <c r="K19" s="63">
        <f>H19*J19</f>
        <v>0</v>
      </c>
      <c r="L19" s="63">
        <f t="shared" si="4"/>
        <v>0</v>
      </c>
      <c r="M19" s="90"/>
      <c r="N19" s="63">
        <f t="shared" si="7"/>
        <v>0</v>
      </c>
      <c r="O19" s="64">
        <f>IF(M19=0,0,1)</f>
        <v>0</v>
      </c>
      <c r="P19" s="63">
        <f>M19*O19</f>
        <v>0</v>
      </c>
      <c r="Q19" s="63">
        <f t="shared" si="8"/>
        <v>0</v>
      </c>
      <c r="R19" s="90"/>
      <c r="S19" s="63">
        <f t="shared" si="11"/>
        <v>0</v>
      </c>
      <c r="T19" s="64">
        <f>IF(R19=0,0,1)</f>
        <v>0</v>
      </c>
      <c r="U19" s="63">
        <f>R19*T19</f>
        <v>0</v>
      </c>
      <c r="V19" s="63">
        <f t="shared" si="12"/>
        <v>0</v>
      </c>
      <c r="W19" s="69"/>
      <c r="X19" s="66"/>
      <c r="Y19" s="67"/>
      <c r="Z19" s="66"/>
      <c r="AA19" s="67"/>
      <c r="AB19" s="68"/>
      <c r="AC19" s="67"/>
      <c r="AD19" s="68"/>
      <c r="AE19" s="27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</row>
    <row r="20" spans="1:110" s="35" customFormat="1" ht="17.25" customHeight="1">
      <c r="A20" s="29" t="s">
        <v>90</v>
      </c>
      <c r="B20" s="36" t="s">
        <v>22</v>
      </c>
      <c r="C20" s="62" t="s">
        <v>77</v>
      </c>
      <c r="D20" s="89">
        <f t="shared" si="2"/>
        <v>805.2278</v>
      </c>
      <c r="E20" s="89">
        <f t="shared" si="0"/>
        <v>3.7993137030597244</v>
      </c>
      <c r="F20" s="89">
        <f t="shared" si="3"/>
        <v>805.2278</v>
      </c>
      <c r="G20" s="89">
        <f t="shared" si="10"/>
        <v>3.7993137030597244</v>
      </c>
      <c r="H20" s="90">
        <v>573.4254021087162</v>
      </c>
      <c r="I20" s="63">
        <f t="shared" si="6"/>
        <v>3.7993137030597244</v>
      </c>
      <c r="J20" s="64">
        <f aca="true" t="shared" si="13" ref="J20:J40">IF(H20=0,0,1)</f>
        <v>1</v>
      </c>
      <c r="K20" s="63">
        <f>H20</f>
        <v>573.4254021087162</v>
      </c>
      <c r="L20" s="63">
        <f t="shared" si="4"/>
        <v>3.7993137030597244</v>
      </c>
      <c r="M20" s="90">
        <v>191.69851413981473</v>
      </c>
      <c r="N20" s="63">
        <f t="shared" si="7"/>
        <v>3.799313703059725</v>
      </c>
      <c r="O20" s="64">
        <f aca="true" t="shared" si="14" ref="O20:O47">IF(M20=0,0,1)</f>
        <v>1</v>
      </c>
      <c r="P20" s="63">
        <f>M20</f>
        <v>191.69851413981473</v>
      </c>
      <c r="Q20" s="63">
        <f t="shared" si="8"/>
        <v>3.799313703059725</v>
      </c>
      <c r="R20" s="90">
        <v>40.103883751469105</v>
      </c>
      <c r="S20" s="63">
        <f t="shared" si="11"/>
        <v>3.7993137030597244</v>
      </c>
      <c r="T20" s="64">
        <f aca="true" t="shared" si="15" ref="T20:T47">IF(R20=0,0,1)</f>
        <v>1</v>
      </c>
      <c r="U20" s="63">
        <f>R20</f>
        <v>40.103883751469105</v>
      </c>
      <c r="V20" s="63">
        <f t="shared" si="12"/>
        <v>3.7993137030597244</v>
      </c>
      <c r="W20" s="69">
        <v>28.12</v>
      </c>
      <c r="X20" s="66">
        <v>0.46</v>
      </c>
      <c r="Y20" s="67">
        <v>23.93</v>
      </c>
      <c r="Z20" s="66">
        <v>0.46</v>
      </c>
      <c r="AA20" s="67">
        <v>3.32</v>
      </c>
      <c r="AB20" s="68">
        <v>0.46</v>
      </c>
      <c r="AC20" s="67">
        <v>0.87</v>
      </c>
      <c r="AD20" s="68">
        <v>0.46</v>
      </c>
      <c r="AE20" s="27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</row>
    <row r="21" spans="1:110" s="35" customFormat="1" ht="17.25" customHeight="1">
      <c r="A21" s="29" t="s">
        <v>21</v>
      </c>
      <c r="B21" s="36" t="s">
        <v>24</v>
      </c>
      <c r="C21" s="62" t="s">
        <v>77</v>
      </c>
      <c r="D21" s="89">
        <f t="shared" si="2"/>
        <v>172.08749000000003</v>
      </c>
      <c r="E21" s="89">
        <f t="shared" si="0"/>
        <v>0.8119619800535369</v>
      </c>
      <c r="F21" s="89">
        <f t="shared" si="3"/>
        <v>172.08749000000003</v>
      </c>
      <c r="G21" s="89">
        <f t="shared" si="10"/>
        <v>0.8119619800535369</v>
      </c>
      <c r="H21" s="90">
        <v>122.54834985966664</v>
      </c>
      <c r="I21" s="63">
        <f t="shared" si="6"/>
        <v>0.8119619800535368</v>
      </c>
      <c r="J21" s="64">
        <f t="shared" si="13"/>
        <v>1</v>
      </c>
      <c r="K21" s="63">
        <f>H21</f>
        <v>122.54834985966664</v>
      </c>
      <c r="L21" s="63">
        <f t="shared" si="4"/>
        <v>0.8119619800535368</v>
      </c>
      <c r="M21" s="90">
        <v>40.96842674215946</v>
      </c>
      <c r="N21" s="63">
        <f t="shared" si="7"/>
        <v>0.8119619800535368</v>
      </c>
      <c r="O21" s="64">
        <f t="shared" si="14"/>
        <v>1</v>
      </c>
      <c r="P21" s="63">
        <f>M21</f>
        <v>40.96842674215946</v>
      </c>
      <c r="Q21" s="63">
        <f t="shared" si="8"/>
        <v>0.8119619800535368</v>
      </c>
      <c r="R21" s="90">
        <v>8.570713398173911</v>
      </c>
      <c r="S21" s="63">
        <f t="shared" si="11"/>
        <v>0.8119619800535368</v>
      </c>
      <c r="T21" s="64">
        <f t="shared" si="15"/>
        <v>1</v>
      </c>
      <c r="U21" s="63">
        <f>R21</f>
        <v>8.570713398173911</v>
      </c>
      <c r="V21" s="63">
        <f t="shared" si="12"/>
        <v>0.8119619800535368</v>
      </c>
      <c r="W21" s="69">
        <v>217.51</v>
      </c>
      <c r="X21" s="66">
        <v>3.55</v>
      </c>
      <c r="Y21" s="67">
        <v>185.14</v>
      </c>
      <c r="Z21" s="66">
        <v>3.55</v>
      </c>
      <c r="AA21" s="67">
        <v>25.67</v>
      </c>
      <c r="AB21" s="68">
        <v>3.55</v>
      </c>
      <c r="AC21" s="67">
        <v>6.7</v>
      </c>
      <c r="AD21" s="68">
        <v>3.55</v>
      </c>
      <c r="AE21" s="27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</row>
    <row r="22" spans="1:31" s="28" customFormat="1" ht="16.5" customHeight="1">
      <c r="A22" s="11" t="s">
        <v>25</v>
      </c>
      <c r="B22" s="55" t="s">
        <v>91</v>
      </c>
      <c r="C22" s="56" t="s">
        <v>77</v>
      </c>
      <c r="D22" s="88">
        <f t="shared" si="2"/>
        <v>7822.96698</v>
      </c>
      <c r="E22" s="88">
        <f t="shared" si="0"/>
        <v>36.91117674488853</v>
      </c>
      <c r="F22" s="88">
        <f t="shared" si="3"/>
        <v>7822.96698</v>
      </c>
      <c r="G22" s="88">
        <f t="shared" si="10"/>
        <v>36.91117674488853</v>
      </c>
      <c r="H22" s="92">
        <v>5570.955183352722</v>
      </c>
      <c r="I22" s="57">
        <f t="shared" si="6"/>
        <v>36.91117674488853</v>
      </c>
      <c r="J22" s="58">
        <f t="shared" si="13"/>
        <v>1</v>
      </c>
      <c r="K22" s="57">
        <f>H22</f>
        <v>5570.955183352722</v>
      </c>
      <c r="L22" s="57">
        <f t="shared" si="4"/>
        <v>36.91117674488853</v>
      </c>
      <c r="M22" s="92">
        <v>1862.3936558460025</v>
      </c>
      <c r="N22" s="57">
        <f t="shared" si="7"/>
        <v>36.91117674488853</v>
      </c>
      <c r="O22" s="58">
        <f t="shared" si="14"/>
        <v>1</v>
      </c>
      <c r="P22" s="57">
        <f>M22</f>
        <v>1862.3936558460025</v>
      </c>
      <c r="Q22" s="57">
        <f t="shared" si="8"/>
        <v>36.91117674488853</v>
      </c>
      <c r="R22" s="92">
        <v>389.61814080127556</v>
      </c>
      <c r="S22" s="57">
        <f t="shared" si="11"/>
        <v>36.91117674488853</v>
      </c>
      <c r="T22" s="58">
        <f t="shared" si="15"/>
        <v>1</v>
      </c>
      <c r="U22" s="57">
        <f>R22</f>
        <v>389.61814080127556</v>
      </c>
      <c r="V22" s="57">
        <f t="shared" si="12"/>
        <v>36.91117674488853</v>
      </c>
      <c r="W22" s="78">
        <v>1270.24</v>
      </c>
      <c r="X22" s="60">
        <v>20.72</v>
      </c>
      <c r="Y22" s="61">
        <v>1081.18</v>
      </c>
      <c r="Z22" s="60">
        <v>20.72</v>
      </c>
      <c r="AA22" s="61">
        <v>149.92</v>
      </c>
      <c r="AB22" s="60">
        <v>20.72</v>
      </c>
      <c r="AC22" s="61">
        <v>39.14</v>
      </c>
      <c r="AD22" s="60">
        <v>20.72</v>
      </c>
      <c r="AE22" s="27"/>
    </row>
    <row r="23" spans="1:31" s="28" customFormat="1" ht="16.5" customHeight="1">
      <c r="A23" s="11" t="s">
        <v>26</v>
      </c>
      <c r="B23" s="55" t="s">
        <v>27</v>
      </c>
      <c r="C23" s="56"/>
      <c r="D23" s="88">
        <f t="shared" si="2"/>
        <v>4493.3712860000005</v>
      </c>
      <c r="E23" s="88">
        <f t="shared" si="0"/>
        <v>21.201114889270958</v>
      </c>
      <c r="F23" s="88">
        <f t="shared" si="3"/>
        <v>4493.3712860000005</v>
      </c>
      <c r="G23" s="88">
        <f t="shared" si="10"/>
        <v>21.201114889270958</v>
      </c>
      <c r="H23" s="57">
        <f>SUM(H24:H26)</f>
        <v>3199.8562847660123</v>
      </c>
      <c r="I23" s="57">
        <f>SUM(I24:I26)</f>
        <v>21.201114889270958</v>
      </c>
      <c r="J23" s="58">
        <f t="shared" si="13"/>
        <v>1</v>
      </c>
      <c r="K23" s="57">
        <f>SUM(K24:K26)</f>
        <v>3199.8562847660123</v>
      </c>
      <c r="L23" s="57">
        <f t="shared" si="4"/>
        <v>21.20111488927096</v>
      </c>
      <c r="M23" s="57">
        <f>SUM(M24:M26)</f>
        <v>1069.7253609533955</v>
      </c>
      <c r="N23" s="57">
        <f t="shared" si="7"/>
        <v>21.201114889270958</v>
      </c>
      <c r="O23" s="58">
        <f t="shared" si="14"/>
        <v>1</v>
      </c>
      <c r="P23" s="57">
        <f>SUM(P24:P26)</f>
        <v>1069.7253609533955</v>
      </c>
      <c r="Q23" s="57">
        <f t="shared" si="8"/>
        <v>21.201114889270958</v>
      </c>
      <c r="R23" s="57">
        <f>SUM(R24:R26)</f>
        <v>223.78964028059298</v>
      </c>
      <c r="S23" s="57">
        <f t="shared" si="11"/>
        <v>21.20111488927096</v>
      </c>
      <c r="T23" s="58">
        <f t="shared" si="15"/>
        <v>1</v>
      </c>
      <c r="U23" s="57">
        <f>SUM(U24:U26)</f>
        <v>223.78964028059298</v>
      </c>
      <c r="V23" s="57">
        <f t="shared" si="12"/>
        <v>21.20111488927096</v>
      </c>
      <c r="W23" s="78">
        <v>1176.43</v>
      </c>
      <c r="X23" s="60">
        <v>19.19</v>
      </c>
      <c r="Y23" s="61">
        <v>1001.34</v>
      </c>
      <c r="Z23" s="60">
        <v>19.19</v>
      </c>
      <c r="AA23" s="61">
        <v>138.85</v>
      </c>
      <c r="AB23" s="60">
        <v>19.19</v>
      </c>
      <c r="AC23" s="61">
        <v>36.25</v>
      </c>
      <c r="AD23" s="60">
        <v>19.19</v>
      </c>
      <c r="AE23" s="27"/>
    </row>
    <row r="24" spans="1:110" s="35" customFormat="1" ht="16.5" customHeight="1">
      <c r="A24" s="29" t="s">
        <v>28</v>
      </c>
      <c r="B24" s="36" t="s">
        <v>44</v>
      </c>
      <c r="C24" s="62" t="s">
        <v>77</v>
      </c>
      <c r="D24" s="89">
        <f t="shared" si="2"/>
        <v>2899.1915600000007</v>
      </c>
      <c r="E24" s="89">
        <f t="shared" si="0"/>
        <v>13.679282088501045</v>
      </c>
      <c r="F24" s="89">
        <f t="shared" si="3"/>
        <v>2899.1915600000007</v>
      </c>
      <c r="G24" s="89">
        <f t="shared" si="10"/>
        <v>13.679282088501045</v>
      </c>
      <c r="H24" s="90">
        <v>2064.595988965106</v>
      </c>
      <c r="I24" s="63">
        <f>H24/$H$50*1000</f>
        <v>13.679282088501044</v>
      </c>
      <c r="J24" s="64">
        <f t="shared" si="13"/>
        <v>1</v>
      </c>
      <c r="K24" s="63">
        <f>H24</f>
        <v>2064.595988965106</v>
      </c>
      <c r="L24" s="63">
        <f t="shared" si="4"/>
        <v>13.679282088501044</v>
      </c>
      <c r="M24" s="90">
        <v>690.2030881927966</v>
      </c>
      <c r="N24" s="63">
        <f t="shared" si="7"/>
        <v>13.679282088501044</v>
      </c>
      <c r="O24" s="64">
        <f t="shared" si="14"/>
        <v>1</v>
      </c>
      <c r="P24" s="63">
        <f>M24</f>
        <v>690.2030881927966</v>
      </c>
      <c r="Q24" s="63">
        <f t="shared" si="8"/>
        <v>13.679282088501044</v>
      </c>
      <c r="R24" s="90">
        <v>144.39248284209808</v>
      </c>
      <c r="S24" s="63">
        <f t="shared" si="11"/>
        <v>13.679282088501044</v>
      </c>
      <c r="T24" s="64">
        <f t="shared" si="15"/>
        <v>1</v>
      </c>
      <c r="U24" s="63">
        <f>R24</f>
        <v>144.39248284209808</v>
      </c>
      <c r="V24" s="63">
        <f t="shared" si="12"/>
        <v>13.679282088501044</v>
      </c>
      <c r="W24" s="69">
        <v>470.75</v>
      </c>
      <c r="X24" s="66">
        <v>7.68</v>
      </c>
      <c r="Y24" s="65">
        <v>400.69</v>
      </c>
      <c r="Z24" s="66">
        <v>7.68</v>
      </c>
      <c r="AA24" s="65">
        <v>55.56</v>
      </c>
      <c r="AB24" s="68">
        <v>7.68</v>
      </c>
      <c r="AC24" s="65">
        <v>14.5</v>
      </c>
      <c r="AD24" s="68">
        <v>7.68</v>
      </c>
      <c r="AE24" s="27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</row>
    <row r="25" spans="1:110" s="35" customFormat="1" ht="16.5" customHeight="1">
      <c r="A25" s="29" t="s">
        <v>30</v>
      </c>
      <c r="B25" s="36" t="s">
        <v>29</v>
      </c>
      <c r="C25" s="62" t="s">
        <v>77</v>
      </c>
      <c r="D25" s="89">
        <f t="shared" si="2"/>
        <v>563.73589</v>
      </c>
      <c r="E25" s="89">
        <f t="shared" si="0"/>
        <v>2.6598802125107577</v>
      </c>
      <c r="F25" s="89">
        <f t="shared" si="3"/>
        <v>563.73589</v>
      </c>
      <c r="G25" s="89">
        <f t="shared" si="10"/>
        <v>2.6598802125107577</v>
      </c>
      <c r="H25" s="90">
        <v>401.45220943236814</v>
      </c>
      <c r="I25" s="63">
        <f>H25/$H$50*1000</f>
        <v>2.6598802125107577</v>
      </c>
      <c r="J25" s="64">
        <f t="shared" si="13"/>
        <v>1</v>
      </c>
      <c r="K25" s="63">
        <f>H25</f>
        <v>401.45220943236814</v>
      </c>
      <c r="L25" s="63">
        <f t="shared" si="4"/>
        <v>2.6598802125107577</v>
      </c>
      <c r="M25" s="90">
        <v>134.2071553916619</v>
      </c>
      <c r="N25" s="63">
        <f t="shared" si="7"/>
        <v>2.6598802125107577</v>
      </c>
      <c r="O25" s="64">
        <f t="shared" si="14"/>
        <v>1</v>
      </c>
      <c r="P25" s="63">
        <f>M25</f>
        <v>134.2071553916619</v>
      </c>
      <c r="Q25" s="63">
        <f t="shared" si="8"/>
        <v>2.6598802125107577</v>
      </c>
      <c r="R25" s="90">
        <v>28.07652517597005</v>
      </c>
      <c r="S25" s="63">
        <f t="shared" si="11"/>
        <v>2.6598802125107577</v>
      </c>
      <c r="T25" s="64">
        <f t="shared" si="15"/>
        <v>1</v>
      </c>
      <c r="U25" s="63">
        <f>R25</f>
        <v>28.07652517597005</v>
      </c>
      <c r="V25" s="63">
        <f t="shared" si="12"/>
        <v>2.6598802125107577</v>
      </c>
      <c r="W25" s="69">
        <v>455.67</v>
      </c>
      <c r="X25" s="66">
        <v>7.43</v>
      </c>
      <c r="Y25" s="65">
        <v>387.85</v>
      </c>
      <c r="Z25" s="66">
        <v>7.43</v>
      </c>
      <c r="AA25" s="65">
        <v>53.78</v>
      </c>
      <c r="AB25" s="68">
        <v>7.43</v>
      </c>
      <c r="AC25" s="65">
        <v>14.04</v>
      </c>
      <c r="AD25" s="68">
        <v>7.43</v>
      </c>
      <c r="AE25" s="27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</row>
    <row r="26" spans="1:110" s="35" customFormat="1" ht="16.5" customHeight="1">
      <c r="A26" s="29" t="s">
        <v>92</v>
      </c>
      <c r="B26" s="36" t="s">
        <v>31</v>
      </c>
      <c r="C26" s="62" t="s">
        <v>77</v>
      </c>
      <c r="D26" s="89">
        <f t="shared" si="2"/>
        <v>1030.443836</v>
      </c>
      <c r="E26" s="89">
        <f t="shared" si="0"/>
        <v>4.861952588259157</v>
      </c>
      <c r="F26" s="89">
        <f t="shared" si="3"/>
        <v>1030.443836</v>
      </c>
      <c r="G26" s="89">
        <f t="shared" si="10"/>
        <v>4.861952588259157</v>
      </c>
      <c r="H26" s="90">
        <v>733.8080863685382</v>
      </c>
      <c r="I26" s="63">
        <f>H26/$H$50*1000</f>
        <v>4.861952588259157</v>
      </c>
      <c r="J26" s="64">
        <f t="shared" si="13"/>
        <v>1</v>
      </c>
      <c r="K26" s="63">
        <f>H26</f>
        <v>733.8080863685382</v>
      </c>
      <c r="L26" s="63">
        <f t="shared" si="4"/>
        <v>4.861952588259157</v>
      </c>
      <c r="M26" s="90">
        <v>245.315117368937</v>
      </c>
      <c r="N26" s="63">
        <f t="shared" si="7"/>
        <v>4.861952588259157</v>
      </c>
      <c r="O26" s="64">
        <f t="shared" si="14"/>
        <v>1</v>
      </c>
      <c r="P26" s="63">
        <f>M26</f>
        <v>245.315117368937</v>
      </c>
      <c r="Q26" s="63">
        <f t="shared" si="8"/>
        <v>4.861952588259157</v>
      </c>
      <c r="R26" s="90">
        <v>51.32063226252483</v>
      </c>
      <c r="S26" s="63">
        <f t="shared" si="11"/>
        <v>4.861952588259157</v>
      </c>
      <c r="T26" s="64">
        <f t="shared" si="15"/>
        <v>1</v>
      </c>
      <c r="U26" s="63">
        <f>R26</f>
        <v>51.32063226252483</v>
      </c>
      <c r="V26" s="63">
        <f t="shared" si="12"/>
        <v>4.861952588259157</v>
      </c>
      <c r="W26" s="69">
        <v>250.01</v>
      </c>
      <c r="X26" s="66">
        <v>4.08</v>
      </c>
      <c r="Y26" s="65">
        <v>212.8</v>
      </c>
      <c r="Z26" s="66">
        <v>4.08</v>
      </c>
      <c r="AA26" s="65">
        <v>29.51</v>
      </c>
      <c r="AB26" s="68">
        <v>4.08</v>
      </c>
      <c r="AC26" s="65">
        <v>7.7</v>
      </c>
      <c r="AD26" s="68">
        <v>4.08</v>
      </c>
      <c r="AE26" s="27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</row>
    <row r="27" spans="1:31" s="28" customFormat="1" ht="18" customHeight="1">
      <c r="A27" s="11" t="s">
        <v>32</v>
      </c>
      <c r="B27" s="55" t="s">
        <v>33</v>
      </c>
      <c r="C27" s="56" t="s">
        <v>77</v>
      </c>
      <c r="D27" s="88">
        <f t="shared" si="2"/>
        <v>812.34161</v>
      </c>
      <c r="E27" s="88">
        <f t="shared" si="0"/>
        <v>3.832878857931381</v>
      </c>
      <c r="F27" s="88">
        <f t="shared" si="3"/>
        <v>812.34161</v>
      </c>
      <c r="G27" s="88">
        <f t="shared" si="10"/>
        <v>3.832878857931381</v>
      </c>
      <c r="H27" s="57">
        <f>SUM(H28:H30)</f>
        <v>578.4913466274909</v>
      </c>
      <c r="I27" s="57">
        <f>SUM(I28:I30)</f>
        <v>3.832878857931381</v>
      </c>
      <c r="J27" s="58">
        <f t="shared" si="13"/>
        <v>1</v>
      </c>
      <c r="K27" s="57">
        <f>SUM(K28:K30)</f>
        <v>578.4913466274909</v>
      </c>
      <c r="L27" s="57">
        <f t="shared" si="4"/>
        <v>3.8328788579313815</v>
      </c>
      <c r="M27" s="57">
        <f>SUM(M28:M30)</f>
        <v>193.39208061488296</v>
      </c>
      <c r="N27" s="57">
        <f t="shared" si="7"/>
        <v>3.832878857931381</v>
      </c>
      <c r="O27" s="58">
        <f t="shared" si="14"/>
        <v>1</v>
      </c>
      <c r="P27" s="57">
        <f>SUM(P28:P30)</f>
        <v>193.39208061488296</v>
      </c>
      <c r="Q27" s="57">
        <f t="shared" si="8"/>
        <v>3.832878857931381</v>
      </c>
      <c r="R27" s="57">
        <f>SUM(R28:R30)</f>
        <v>40.45818275762616</v>
      </c>
      <c r="S27" s="57">
        <f t="shared" si="11"/>
        <v>3.8328788579313806</v>
      </c>
      <c r="T27" s="58">
        <f t="shared" si="15"/>
        <v>1</v>
      </c>
      <c r="U27" s="57">
        <f>SUM(U28:U30)</f>
        <v>40.45818275762616</v>
      </c>
      <c r="V27" s="57">
        <f t="shared" si="12"/>
        <v>3.8328788579313806</v>
      </c>
      <c r="W27" s="78">
        <v>0</v>
      </c>
      <c r="X27" s="60">
        <v>0</v>
      </c>
      <c r="Y27" s="61">
        <v>0</v>
      </c>
      <c r="Z27" s="60">
        <v>0</v>
      </c>
      <c r="AA27" s="61">
        <v>0</v>
      </c>
      <c r="AB27" s="60">
        <v>0</v>
      </c>
      <c r="AC27" s="61">
        <v>0</v>
      </c>
      <c r="AD27" s="60">
        <v>0</v>
      </c>
      <c r="AE27" s="27"/>
    </row>
    <row r="28" spans="1:110" s="35" customFormat="1" ht="16.5" customHeight="1">
      <c r="A28" s="29" t="s">
        <v>34</v>
      </c>
      <c r="B28" s="36" t="s">
        <v>42</v>
      </c>
      <c r="C28" s="62" t="s">
        <v>77</v>
      </c>
      <c r="D28" s="89">
        <f t="shared" si="2"/>
        <v>517.9923872779992</v>
      </c>
      <c r="E28" s="89">
        <f t="shared" si="0"/>
        <v>2.44404822469607</v>
      </c>
      <c r="F28" s="89">
        <f t="shared" si="3"/>
        <v>517.9923872779992</v>
      </c>
      <c r="G28" s="89">
        <f t="shared" si="10"/>
        <v>2.44404822469607</v>
      </c>
      <c r="H28" s="90">
        <v>368.87697240972125</v>
      </c>
      <c r="I28" s="63">
        <f>H28/$H$50*1000</f>
        <v>2.44404822469607</v>
      </c>
      <c r="J28" s="64">
        <f t="shared" si="13"/>
        <v>1</v>
      </c>
      <c r="K28" s="63">
        <f>H28</f>
        <v>368.87697240972125</v>
      </c>
      <c r="L28" s="63">
        <f t="shared" si="4"/>
        <v>2.44404822469607</v>
      </c>
      <c r="M28" s="90">
        <v>123.31711718960513</v>
      </c>
      <c r="N28" s="63">
        <f t="shared" si="7"/>
        <v>2.44404822469607</v>
      </c>
      <c r="O28" s="64">
        <f t="shared" si="14"/>
        <v>1</v>
      </c>
      <c r="P28" s="63">
        <f>M28</f>
        <v>123.31711718960513</v>
      </c>
      <c r="Q28" s="63">
        <f t="shared" si="8"/>
        <v>2.44404822469607</v>
      </c>
      <c r="R28" s="90">
        <v>25.79829767867285</v>
      </c>
      <c r="S28" s="63">
        <f t="shared" si="11"/>
        <v>2.44404822469607</v>
      </c>
      <c r="T28" s="64">
        <f t="shared" si="15"/>
        <v>1</v>
      </c>
      <c r="U28" s="63">
        <f>R28</f>
        <v>25.79829767867285</v>
      </c>
      <c r="V28" s="63">
        <f t="shared" si="12"/>
        <v>2.44404822469607</v>
      </c>
      <c r="W28" s="69">
        <v>0</v>
      </c>
      <c r="X28" s="66">
        <v>0</v>
      </c>
      <c r="Y28" s="67">
        <v>0</v>
      </c>
      <c r="Z28" s="66">
        <v>0</v>
      </c>
      <c r="AA28" s="67">
        <v>0</v>
      </c>
      <c r="AB28" s="68">
        <v>0</v>
      </c>
      <c r="AC28" s="67">
        <v>0</v>
      </c>
      <c r="AD28" s="68">
        <v>0</v>
      </c>
      <c r="AE28" s="27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</row>
    <row r="29" spans="1:110" s="35" customFormat="1" ht="16.5" customHeight="1">
      <c r="A29" s="29" t="s">
        <v>35</v>
      </c>
      <c r="B29" s="36" t="s">
        <v>44</v>
      </c>
      <c r="C29" s="62" t="s">
        <v>77</v>
      </c>
      <c r="D29" s="89">
        <f t="shared" si="2"/>
        <v>191.96797838663284</v>
      </c>
      <c r="E29" s="89">
        <f t="shared" si="0"/>
        <v>0.9057642704747739</v>
      </c>
      <c r="F29" s="89">
        <f t="shared" si="3"/>
        <v>191.96797838663284</v>
      </c>
      <c r="G29" s="89">
        <f t="shared" si="10"/>
        <v>0.9057642704747739</v>
      </c>
      <c r="H29" s="90">
        <v>136.7058057339206</v>
      </c>
      <c r="I29" s="63">
        <f>H29/$H$50*1000</f>
        <v>0.905764270474774</v>
      </c>
      <c r="J29" s="64">
        <f t="shared" si="13"/>
        <v>1</v>
      </c>
      <c r="K29" s="63">
        <f>H29</f>
        <v>136.7058057339206</v>
      </c>
      <c r="L29" s="63">
        <f t="shared" si="4"/>
        <v>0.905764270474774</v>
      </c>
      <c r="M29" s="90">
        <v>45.70132354985954</v>
      </c>
      <c r="N29" s="63">
        <f t="shared" si="7"/>
        <v>0.905764270474774</v>
      </c>
      <c r="O29" s="64">
        <f t="shared" si="14"/>
        <v>1</v>
      </c>
      <c r="P29" s="63">
        <f>M29</f>
        <v>45.70132354985954</v>
      </c>
      <c r="Q29" s="63">
        <f t="shared" si="8"/>
        <v>0.905764270474774</v>
      </c>
      <c r="R29" s="90">
        <v>9.560849102852705</v>
      </c>
      <c r="S29" s="63">
        <f t="shared" si="11"/>
        <v>0.905764270474774</v>
      </c>
      <c r="T29" s="64">
        <f t="shared" si="15"/>
        <v>1</v>
      </c>
      <c r="U29" s="63">
        <f>R29</f>
        <v>9.560849102852705</v>
      </c>
      <c r="V29" s="63">
        <f t="shared" si="12"/>
        <v>0.905764270474774</v>
      </c>
      <c r="W29" s="69">
        <v>0</v>
      </c>
      <c r="X29" s="66">
        <v>0</v>
      </c>
      <c r="Y29" s="67">
        <v>0</v>
      </c>
      <c r="Z29" s="66">
        <v>0</v>
      </c>
      <c r="AA29" s="67">
        <v>0</v>
      </c>
      <c r="AB29" s="68">
        <v>0</v>
      </c>
      <c r="AC29" s="67">
        <v>0</v>
      </c>
      <c r="AD29" s="68">
        <v>0</v>
      </c>
      <c r="AE29" s="27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</row>
    <row r="30" spans="1:110" s="35" customFormat="1" ht="16.5" customHeight="1">
      <c r="A30" s="29" t="s">
        <v>93</v>
      </c>
      <c r="B30" s="36" t="s">
        <v>36</v>
      </c>
      <c r="C30" s="62" t="s">
        <v>77</v>
      </c>
      <c r="D30" s="89">
        <f t="shared" si="2"/>
        <v>102.38124433536788</v>
      </c>
      <c r="E30" s="89">
        <f t="shared" si="0"/>
        <v>0.4830663627605368</v>
      </c>
      <c r="F30" s="89">
        <f t="shared" si="3"/>
        <v>102.38124433536788</v>
      </c>
      <c r="G30" s="89">
        <f t="shared" si="10"/>
        <v>0.4830663627605368</v>
      </c>
      <c r="H30" s="90">
        <v>72.90856848384898</v>
      </c>
      <c r="I30" s="63">
        <f>H30/$H$50*1000</f>
        <v>0.4830663627605369</v>
      </c>
      <c r="J30" s="64">
        <f t="shared" si="13"/>
        <v>1</v>
      </c>
      <c r="K30" s="63">
        <f>H30</f>
        <v>72.90856848384898</v>
      </c>
      <c r="L30" s="63">
        <f t="shared" si="4"/>
        <v>0.4830663627605369</v>
      </c>
      <c r="M30" s="90">
        <v>24.37363987541829</v>
      </c>
      <c r="N30" s="63">
        <f t="shared" si="7"/>
        <v>0.4830663627605368</v>
      </c>
      <c r="O30" s="64">
        <f t="shared" si="14"/>
        <v>1</v>
      </c>
      <c r="P30" s="63">
        <f>M30</f>
        <v>24.37363987541829</v>
      </c>
      <c r="Q30" s="63">
        <f t="shared" si="8"/>
        <v>0.4830663627605368</v>
      </c>
      <c r="R30" s="90">
        <v>5.099035976100612</v>
      </c>
      <c r="S30" s="63">
        <f t="shared" si="11"/>
        <v>0.4830663627605368</v>
      </c>
      <c r="T30" s="64">
        <f t="shared" si="15"/>
        <v>1</v>
      </c>
      <c r="U30" s="63">
        <f>R30</f>
        <v>5.099035976100612</v>
      </c>
      <c r="V30" s="63">
        <f t="shared" si="12"/>
        <v>0.4830663627605368</v>
      </c>
      <c r="W30" s="69">
        <v>0</v>
      </c>
      <c r="X30" s="66">
        <v>0</v>
      </c>
      <c r="Y30" s="67">
        <v>0</v>
      </c>
      <c r="Z30" s="66">
        <v>0</v>
      </c>
      <c r="AA30" s="67">
        <v>0</v>
      </c>
      <c r="AB30" s="68">
        <v>0</v>
      </c>
      <c r="AC30" s="67">
        <v>0</v>
      </c>
      <c r="AD30" s="68">
        <v>0</v>
      </c>
      <c r="AE30" s="27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</row>
    <row r="31" spans="1:31" s="28" customFormat="1" ht="16.5" customHeight="1">
      <c r="A31" s="11" t="s">
        <v>37</v>
      </c>
      <c r="B31" s="55" t="s">
        <v>38</v>
      </c>
      <c r="C31" s="56" t="s">
        <v>77</v>
      </c>
      <c r="D31" s="88">
        <f t="shared" si="2"/>
        <v>2780.71382</v>
      </c>
      <c r="E31" s="88">
        <f t="shared" si="0"/>
        <v>13.120267482833496</v>
      </c>
      <c r="F31" s="88">
        <f t="shared" si="3"/>
        <v>2780.71382</v>
      </c>
      <c r="G31" s="88">
        <f t="shared" si="10"/>
        <v>13.120267482833496</v>
      </c>
      <c r="H31" s="57">
        <f>SUM(H32:H34)</f>
        <v>1980.2246524309817</v>
      </c>
      <c r="I31" s="57">
        <f>SUM(I32:I34)</f>
        <v>13.120267482833494</v>
      </c>
      <c r="J31" s="58">
        <f t="shared" si="13"/>
        <v>1</v>
      </c>
      <c r="K31" s="57">
        <f>SUM(K32:K34)</f>
        <v>1980.2246524309817</v>
      </c>
      <c r="L31" s="57">
        <f t="shared" si="4"/>
        <v>13.120267482833494</v>
      </c>
      <c r="M31" s="57">
        <f>SUM(M32:M34)</f>
        <v>661.9973969379201</v>
      </c>
      <c r="N31" s="57">
        <f t="shared" si="7"/>
        <v>13.120267482833494</v>
      </c>
      <c r="O31" s="58">
        <f t="shared" si="14"/>
        <v>1</v>
      </c>
      <c r="P31" s="57">
        <f>SUM(P32:P34)</f>
        <v>661.9973969379201</v>
      </c>
      <c r="Q31" s="57">
        <f t="shared" si="8"/>
        <v>13.120267482833494</v>
      </c>
      <c r="R31" s="57">
        <f>SUM(R32:R34)</f>
        <v>138.49177063109792</v>
      </c>
      <c r="S31" s="57">
        <f t="shared" si="11"/>
        <v>13.120267482833496</v>
      </c>
      <c r="T31" s="58">
        <f t="shared" si="15"/>
        <v>1</v>
      </c>
      <c r="U31" s="57">
        <f>SUM(U32:U34)</f>
        <v>138.49177063109792</v>
      </c>
      <c r="V31" s="57">
        <f t="shared" si="12"/>
        <v>13.120267482833496</v>
      </c>
      <c r="W31" s="78">
        <v>936.23</v>
      </c>
      <c r="X31" s="60">
        <v>15.27</v>
      </c>
      <c r="Y31" s="61">
        <v>796.89</v>
      </c>
      <c r="Z31" s="60">
        <v>15.27</v>
      </c>
      <c r="AA31" s="61">
        <v>110.5</v>
      </c>
      <c r="AB31" s="60">
        <v>15.27</v>
      </c>
      <c r="AC31" s="61">
        <v>28.85</v>
      </c>
      <c r="AD31" s="60">
        <v>15.27</v>
      </c>
      <c r="AE31" s="27"/>
    </row>
    <row r="32" spans="1:110" s="35" customFormat="1" ht="16.5" customHeight="1">
      <c r="A32" s="29" t="s">
        <v>39</v>
      </c>
      <c r="B32" s="36" t="s">
        <v>42</v>
      </c>
      <c r="C32" s="62" t="s">
        <v>77</v>
      </c>
      <c r="D32" s="89">
        <f t="shared" si="2"/>
        <v>1858.7065539958742</v>
      </c>
      <c r="E32" s="89">
        <f t="shared" si="0"/>
        <v>8.76995215585384</v>
      </c>
      <c r="F32" s="89">
        <f t="shared" si="3"/>
        <v>1858.7065539958742</v>
      </c>
      <c r="G32" s="89">
        <f t="shared" si="10"/>
        <v>8.76995215585384</v>
      </c>
      <c r="H32" s="90">
        <v>1323.6373025461742</v>
      </c>
      <c r="I32" s="63">
        <f aca="true" t="shared" si="16" ref="I32:I47">H32/$H$50*1000</f>
        <v>8.76995215585384</v>
      </c>
      <c r="J32" s="64">
        <f t="shared" si="13"/>
        <v>1</v>
      </c>
      <c r="K32" s="63">
        <f>H32</f>
        <v>1323.6373025461742</v>
      </c>
      <c r="L32" s="63">
        <f t="shared" si="4"/>
        <v>8.76995215585384</v>
      </c>
      <c r="M32" s="90">
        <v>442.4974952714553</v>
      </c>
      <c r="N32" s="63">
        <f t="shared" si="7"/>
        <v>8.76995215585384</v>
      </c>
      <c r="O32" s="64">
        <f t="shared" si="14"/>
        <v>1</v>
      </c>
      <c r="P32" s="63">
        <f>M32</f>
        <v>442.4974952714553</v>
      </c>
      <c r="Q32" s="63">
        <f t="shared" si="8"/>
        <v>8.76995215585384</v>
      </c>
      <c r="R32" s="90">
        <v>92.57175617824456</v>
      </c>
      <c r="S32" s="63">
        <f t="shared" si="11"/>
        <v>8.76995215585384</v>
      </c>
      <c r="T32" s="64">
        <f t="shared" si="15"/>
        <v>1</v>
      </c>
      <c r="U32" s="63">
        <f>R32</f>
        <v>92.57175617824456</v>
      </c>
      <c r="V32" s="63">
        <f t="shared" si="12"/>
        <v>8.76995215585384</v>
      </c>
      <c r="W32" s="69">
        <v>577.83</v>
      </c>
      <c r="X32" s="66">
        <v>9.43</v>
      </c>
      <c r="Y32" s="67">
        <v>491.83</v>
      </c>
      <c r="Z32" s="66">
        <v>9.43</v>
      </c>
      <c r="AA32" s="67">
        <v>68.2</v>
      </c>
      <c r="AB32" s="68">
        <v>9.43</v>
      </c>
      <c r="AC32" s="67">
        <v>17.8</v>
      </c>
      <c r="AD32" s="68">
        <v>9.43</v>
      </c>
      <c r="AE32" s="27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</row>
    <row r="33" spans="1:110" s="35" customFormat="1" ht="16.5" customHeight="1">
      <c r="A33" s="29" t="s">
        <v>40</v>
      </c>
      <c r="B33" s="36" t="s">
        <v>44</v>
      </c>
      <c r="C33" s="62" t="s">
        <v>77</v>
      </c>
      <c r="D33" s="89">
        <f t="shared" si="2"/>
        <v>688.8366518363197</v>
      </c>
      <c r="E33" s="89">
        <f t="shared" si="0"/>
        <v>3.2501442827626046</v>
      </c>
      <c r="F33" s="89">
        <f t="shared" si="3"/>
        <v>688.8366518363197</v>
      </c>
      <c r="G33" s="89">
        <f t="shared" si="10"/>
        <v>3.2501442827626046</v>
      </c>
      <c r="H33" s="90">
        <v>490.5399864069067</v>
      </c>
      <c r="I33" s="63">
        <f t="shared" si="16"/>
        <v>3.250144282762605</v>
      </c>
      <c r="J33" s="64">
        <f t="shared" si="13"/>
        <v>1</v>
      </c>
      <c r="K33" s="63">
        <f>H33</f>
        <v>490.5399864069067</v>
      </c>
      <c r="L33" s="63">
        <f t="shared" si="4"/>
        <v>3.250144282762605</v>
      </c>
      <c r="M33" s="90">
        <v>163.98957244405543</v>
      </c>
      <c r="N33" s="63">
        <f t="shared" si="7"/>
        <v>3.250144282762605</v>
      </c>
      <c r="O33" s="64">
        <f t="shared" si="14"/>
        <v>1</v>
      </c>
      <c r="P33" s="63">
        <f>M33</f>
        <v>163.98957244405543</v>
      </c>
      <c r="Q33" s="63">
        <f t="shared" si="8"/>
        <v>3.250144282762605</v>
      </c>
      <c r="R33" s="90">
        <v>34.30709298535764</v>
      </c>
      <c r="S33" s="63">
        <f t="shared" si="11"/>
        <v>3.250144282762605</v>
      </c>
      <c r="T33" s="64">
        <f t="shared" si="15"/>
        <v>1</v>
      </c>
      <c r="U33" s="63">
        <f>R33</f>
        <v>34.30709298535764</v>
      </c>
      <c r="V33" s="63">
        <f t="shared" si="12"/>
        <v>3.250144282762605</v>
      </c>
      <c r="W33" s="69">
        <v>214.14</v>
      </c>
      <c r="X33" s="66">
        <v>3.49</v>
      </c>
      <c r="Y33" s="67">
        <v>182.27</v>
      </c>
      <c r="Z33" s="66">
        <v>3.49</v>
      </c>
      <c r="AA33" s="67">
        <v>25.27</v>
      </c>
      <c r="AB33" s="68">
        <v>3.49</v>
      </c>
      <c r="AC33" s="67">
        <v>6.6</v>
      </c>
      <c r="AD33" s="68">
        <v>3.49</v>
      </c>
      <c r="AE33" s="27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</row>
    <row r="34" spans="1:110" s="35" customFormat="1" ht="16.5" customHeight="1">
      <c r="A34" s="29" t="s">
        <v>94</v>
      </c>
      <c r="B34" s="36" t="s">
        <v>36</v>
      </c>
      <c r="C34" s="62" t="s">
        <v>77</v>
      </c>
      <c r="D34" s="89">
        <f t="shared" si="2"/>
        <v>233.17061416780598</v>
      </c>
      <c r="E34" s="89">
        <f t="shared" si="0"/>
        <v>1.1001710442170491</v>
      </c>
      <c r="F34" s="89">
        <f t="shared" si="3"/>
        <v>233.17061416780598</v>
      </c>
      <c r="G34" s="89">
        <f t="shared" si="10"/>
        <v>1.1001710442170491</v>
      </c>
      <c r="H34" s="90">
        <v>166.04736347790086</v>
      </c>
      <c r="I34" s="63">
        <f t="shared" si="16"/>
        <v>1.1001710442170491</v>
      </c>
      <c r="J34" s="64">
        <f t="shared" si="13"/>
        <v>1</v>
      </c>
      <c r="K34" s="63">
        <f>H34</f>
        <v>166.04736347790086</v>
      </c>
      <c r="L34" s="63">
        <f t="shared" si="4"/>
        <v>1.1001710442170491</v>
      </c>
      <c r="M34" s="90">
        <v>55.5103292224094</v>
      </c>
      <c r="N34" s="63">
        <f t="shared" si="7"/>
        <v>1.1001710442170491</v>
      </c>
      <c r="O34" s="64">
        <f t="shared" si="14"/>
        <v>1</v>
      </c>
      <c r="P34" s="63">
        <f>M34</f>
        <v>55.5103292224094</v>
      </c>
      <c r="Q34" s="63">
        <f t="shared" si="8"/>
        <v>1.1001710442170491</v>
      </c>
      <c r="R34" s="90">
        <v>11.612921467495715</v>
      </c>
      <c r="S34" s="63">
        <f t="shared" si="11"/>
        <v>1.1001710442170491</v>
      </c>
      <c r="T34" s="64">
        <f t="shared" si="15"/>
        <v>1</v>
      </c>
      <c r="U34" s="63">
        <f>R34</f>
        <v>11.612921467495715</v>
      </c>
      <c r="V34" s="63">
        <f t="shared" si="12"/>
        <v>1.1001710442170491</v>
      </c>
      <c r="W34" s="69">
        <v>144.26</v>
      </c>
      <c r="X34" s="66">
        <v>2.35</v>
      </c>
      <c r="Y34" s="67">
        <v>122.79</v>
      </c>
      <c r="Z34" s="66">
        <v>2.35</v>
      </c>
      <c r="AA34" s="67">
        <v>17.03</v>
      </c>
      <c r="AB34" s="68">
        <v>2.35</v>
      </c>
      <c r="AC34" s="67">
        <v>4.44</v>
      </c>
      <c r="AD34" s="68">
        <v>2.35</v>
      </c>
      <c r="AE34" s="27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</row>
    <row r="35" spans="1:31" s="28" customFormat="1" ht="16.5" customHeight="1">
      <c r="A35" s="11">
        <v>3</v>
      </c>
      <c r="B35" s="55" t="s">
        <v>95</v>
      </c>
      <c r="C35" s="56" t="s">
        <v>77</v>
      </c>
      <c r="D35" s="88">
        <f t="shared" si="2"/>
        <v>0</v>
      </c>
      <c r="E35" s="88">
        <f t="shared" si="0"/>
        <v>0</v>
      </c>
      <c r="F35" s="88">
        <f t="shared" si="3"/>
        <v>0</v>
      </c>
      <c r="G35" s="88">
        <f t="shared" si="10"/>
        <v>0</v>
      </c>
      <c r="H35" s="57">
        <f>SUM(H36:H38)</f>
        <v>0</v>
      </c>
      <c r="I35" s="57">
        <f t="shared" si="16"/>
        <v>0</v>
      </c>
      <c r="J35" s="58">
        <f t="shared" si="13"/>
        <v>0</v>
      </c>
      <c r="K35" s="57">
        <f>SUM(K36:K38)</f>
        <v>0</v>
      </c>
      <c r="L35" s="57">
        <f t="shared" si="4"/>
        <v>0</v>
      </c>
      <c r="M35" s="57">
        <f>SUM(M36:M38)</f>
        <v>0</v>
      </c>
      <c r="N35" s="57">
        <f t="shared" si="7"/>
        <v>0</v>
      </c>
      <c r="O35" s="58">
        <f t="shared" si="14"/>
        <v>0</v>
      </c>
      <c r="P35" s="57">
        <f>SUM(P36:P38)</f>
        <v>0</v>
      </c>
      <c r="Q35" s="57">
        <f t="shared" si="8"/>
        <v>0</v>
      </c>
      <c r="R35" s="57">
        <f>SUM(R36:R38)</f>
        <v>0</v>
      </c>
      <c r="S35" s="57">
        <f t="shared" si="11"/>
        <v>0</v>
      </c>
      <c r="T35" s="58">
        <f t="shared" si="15"/>
        <v>0</v>
      </c>
      <c r="U35" s="57">
        <f>SUM(U36:U38)</f>
        <v>0</v>
      </c>
      <c r="V35" s="57">
        <f t="shared" si="12"/>
        <v>0</v>
      </c>
      <c r="W35" s="78">
        <v>0</v>
      </c>
      <c r="X35" s="60">
        <v>0</v>
      </c>
      <c r="Y35" s="61">
        <v>0</v>
      </c>
      <c r="Z35" s="60">
        <v>0</v>
      </c>
      <c r="AA35" s="61">
        <v>0</v>
      </c>
      <c r="AB35" s="60">
        <v>0</v>
      </c>
      <c r="AC35" s="61">
        <v>0</v>
      </c>
      <c r="AD35" s="60">
        <v>0</v>
      </c>
      <c r="AE35" s="27"/>
    </row>
    <row r="36" spans="1:110" ht="16.5" customHeight="1" hidden="1">
      <c r="A36" s="29" t="s">
        <v>41</v>
      </c>
      <c r="B36" s="36" t="s">
        <v>42</v>
      </c>
      <c r="C36" s="62" t="s">
        <v>77</v>
      </c>
      <c r="D36" s="89">
        <f t="shared" si="2"/>
        <v>0</v>
      </c>
      <c r="E36" s="89">
        <f t="shared" si="0"/>
        <v>0</v>
      </c>
      <c r="F36" s="89">
        <f t="shared" si="3"/>
        <v>0</v>
      </c>
      <c r="G36" s="89">
        <f t="shared" si="10"/>
        <v>0</v>
      </c>
      <c r="H36" s="57">
        <v>0</v>
      </c>
      <c r="I36" s="57">
        <f t="shared" si="16"/>
        <v>0</v>
      </c>
      <c r="J36" s="58">
        <f t="shared" si="13"/>
        <v>0</v>
      </c>
      <c r="K36" s="57">
        <v>0</v>
      </c>
      <c r="L36" s="57">
        <f t="shared" si="4"/>
        <v>0</v>
      </c>
      <c r="M36" s="57">
        <v>0</v>
      </c>
      <c r="N36" s="57">
        <f t="shared" si="7"/>
        <v>0</v>
      </c>
      <c r="O36" s="58">
        <f t="shared" si="14"/>
        <v>0</v>
      </c>
      <c r="P36" s="57">
        <v>0</v>
      </c>
      <c r="Q36" s="57">
        <f t="shared" si="8"/>
        <v>0</v>
      </c>
      <c r="R36" s="57">
        <v>0</v>
      </c>
      <c r="S36" s="57">
        <f t="shared" si="11"/>
        <v>0</v>
      </c>
      <c r="T36" s="58">
        <f t="shared" si="15"/>
        <v>0</v>
      </c>
      <c r="U36" s="57">
        <v>0</v>
      </c>
      <c r="V36" s="57">
        <f t="shared" si="12"/>
        <v>0</v>
      </c>
      <c r="W36" s="69">
        <v>0</v>
      </c>
      <c r="X36" s="66">
        <v>0</v>
      </c>
      <c r="Y36" s="67">
        <v>0</v>
      </c>
      <c r="Z36" s="66">
        <v>0</v>
      </c>
      <c r="AA36" s="67">
        <v>0</v>
      </c>
      <c r="AB36" s="68">
        <v>0</v>
      </c>
      <c r="AC36" s="67">
        <v>0</v>
      </c>
      <c r="AD36" s="68">
        <v>0</v>
      </c>
      <c r="AE36" s="27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</row>
    <row r="37" spans="1:110" ht="16.5" customHeight="1" hidden="1">
      <c r="A37" s="29" t="s">
        <v>43</v>
      </c>
      <c r="B37" s="36" t="s">
        <v>44</v>
      </c>
      <c r="C37" s="62" t="s">
        <v>77</v>
      </c>
      <c r="D37" s="89">
        <f t="shared" si="2"/>
        <v>0</v>
      </c>
      <c r="E37" s="89">
        <f t="shared" si="0"/>
        <v>0</v>
      </c>
      <c r="F37" s="89">
        <f t="shared" si="3"/>
        <v>0</v>
      </c>
      <c r="G37" s="89">
        <f t="shared" si="10"/>
        <v>0</v>
      </c>
      <c r="H37" s="57">
        <v>0</v>
      </c>
      <c r="I37" s="57">
        <f t="shared" si="16"/>
        <v>0</v>
      </c>
      <c r="J37" s="58">
        <f t="shared" si="13"/>
        <v>0</v>
      </c>
      <c r="K37" s="57">
        <v>0</v>
      </c>
      <c r="L37" s="57">
        <f t="shared" si="4"/>
        <v>0</v>
      </c>
      <c r="M37" s="57">
        <v>0</v>
      </c>
      <c r="N37" s="57">
        <f t="shared" si="7"/>
        <v>0</v>
      </c>
      <c r="O37" s="58">
        <f t="shared" si="14"/>
        <v>0</v>
      </c>
      <c r="P37" s="57">
        <v>0</v>
      </c>
      <c r="Q37" s="57">
        <f t="shared" si="8"/>
        <v>0</v>
      </c>
      <c r="R37" s="57">
        <v>0</v>
      </c>
      <c r="S37" s="57">
        <f t="shared" si="11"/>
        <v>0</v>
      </c>
      <c r="T37" s="58">
        <f t="shared" si="15"/>
        <v>0</v>
      </c>
      <c r="U37" s="57">
        <v>0</v>
      </c>
      <c r="V37" s="57">
        <f t="shared" si="12"/>
        <v>0</v>
      </c>
      <c r="W37" s="69">
        <v>0</v>
      </c>
      <c r="X37" s="66">
        <v>0</v>
      </c>
      <c r="Y37" s="67">
        <v>0</v>
      </c>
      <c r="Z37" s="66">
        <v>0</v>
      </c>
      <c r="AA37" s="67">
        <v>0</v>
      </c>
      <c r="AB37" s="68">
        <v>0</v>
      </c>
      <c r="AC37" s="67">
        <v>0</v>
      </c>
      <c r="AD37" s="68">
        <v>0</v>
      </c>
      <c r="AE37" s="27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</row>
    <row r="38" spans="1:110" ht="16.5" customHeight="1" hidden="1">
      <c r="A38" s="29" t="s">
        <v>45</v>
      </c>
      <c r="B38" s="36" t="s">
        <v>36</v>
      </c>
      <c r="C38" s="62" t="s">
        <v>77</v>
      </c>
      <c r="D38" s="89">
        <f t="shared" si="2"/>
        <v>0</v>
      </c>
      <c r="E38" s="89">
        <f t="shared" si="0"/>
        <v>0</v>
      </c>
      <c r="F38" s="89">
        <f t="shared" si="3"/>
        <v>0</v>
      </c>
      <c r="G38" s="89">
        <f t="shared" si="10"/>
        <v>0</v>
      </c>
      <c r="H38" s="57">
        <v>0</v>
      </c>
      <c r="I38" s="57">
        <f t="shared" si="16"/>
        <v>0</v>
      </c>
      <c r="J38" s="58">
        <f t="shared" si="13"/>
        <v>0</v>
      </c>
      <c r="K38" s="57">
        <v>0</v>
      </c>
      <c r="L38" s="57">
        <f t="shared" si="4"/>
        <v>0</v>
      </c>
      <c r="M38" s="57">
        <v>0</v>
      </c>
      <c r="N38" s="57">
        <f t="shared" si="7"/>
        <v>0</v>
      </c>
      <c r="O38" s="58">
        <f t="shared" si="14"/>
        <v>0</v>
      </c>
      <c r="P38" s="57">
        <v>0</v>
      </c>
      <c r="Q38" s="57">
        <f t="shared" si="8"/>
        <v>0</v>
      </c>
      <c r="R38" s="57">
        <v>0</v>
      </c>
      <c r="S38" s="57">
        <f t="shared" si="11"/>
        <v>0</v>
      </c>
      <c r="T38" s="58">
        <f t="shared" si="15"/>
        <v>0</v>
      </c>
      <c r="U38" s="57">
        <v>0</v>
      </c>
      <c r="V38" s="57">
        <f t="shared" si="12"/>
        <v>0</v>
      </c>
      <c r="W38" s="69">
        <v>0</v>
      </c>
      <c r="X38" s="66">
        <v>0</v>
      </c>
      <c r="Y38" s="67">
        <v>0</v>
      </c>
      <c r="Z38" s="66">
        <v>0</v>
      </c>
      <c r="AA38" s="67">
        <v>0</v>
      </c>
      <c r="AB38" s="68">
        <v>0</v>
      </c>
      <c r="AC38" s="67">
        <v>0</v>
      </c>
      <c r="AD38" s="68">
        <v>0</v>
      </c>
      <c r="AE38" s="27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</row>
    <row r="39" spans="1:31" s="28" customFormat="1" ht="16.5" customHeight="1">
      <c r="A39" s="11">
        <v>4</v>
      </c>
      <c r="B39" s="55" t="s">
        <v>46</v>
      </c>
      <c r="C39" s="56" t="s">
        <v>77</v>
      </c>
      <c r="D39" s="88">
        <f t="shared" si="2"/>
        <v>0</v>
      </c>
      <c r="E39" s="88">
        <f t="shared" si="0"/>
        <v>0</v>
      </c>
      <c r="F39" s="88">
        <f t="shared" si="3"/>
        <v>0</v>
      </c>
      <c r="G39" s="88">
        <f t="shared" si="10"/>
        <v>0</v>
      </c>
      <c r="H39" s="92">
        <v>0</v>
      </c>
      <c r="I39" s="57">
        <f t="shared" si="16"/>
        <v>0</v>
      </c>
      <c r="J39" s="58">
        <f t="shared" si="13"/>
        <v>0</v>
      </c>
      <c r="K39" s="57">
        <f>H39</f>
        <v>0</v>
      </c>
      <c r="L39" s="57">
        <f t="shared" si="4"/>
        <v>0</v>
      </c>
      <c r="M39" s="92">
        <v>0</v>
      </c>
      <c r="N39" s="57">
        <f t="shared" si="7"/>
        <v>0</v>
      </c>
      <c r="O39" s="58">
        <f t="shared" si="14"/>
        <v>0</v>
      </c>
      <c r="P39" s="57">
        <f>M39</f>
        <v>0</v>
      </c>
      <c r="Q39" s="57">
        <f t="shared" si="8"/>
        <v>0</v>
      </c>
      <c r="R39" s="92">
        <v>0</v>
      </c>
      <c r="S39" s="57">
        <f t="shared" si="11"/>
        <v>0</v>
      </c>
      <c r="T39" s="58">
        <f t="shared" si="15"/>
        <v>0</v>
      </c>
      <c r="U39" s="57">
        <f>R39</f>
        <v>0</v>
      </c>
      <c r="V39" s="57">
        <f t="shared" si="12"/>
        <v>0</v>
      </c>
      <c r="W39" s="78">
        <v>0</v>
      </c>
      <c r="X39" s="60">
        <v>0</v>
      </c>
      <c r="Y39" s="61">
        <v>0</v>
      </c>
      <c r="Z39" s="60">
        <v>0</v>
      </c>
      <c r="AA39" s="61">
        <v>0</v>
      </c>
      <c r="AB39" s="60">
        <v>0</v>
      </c>
      <c r="AC39" s="61">
        <v>0</v>
      </c>
      <c r="AD39" s="60">
        <v>0</v>
      </c>
      <c r="AE39" s="27"/>
    </row>
    <row r="40" spans="1:31" s="28" customFormat="1" ht="16.5" customHeight="1">
      <c r="A40" s="11">
        <v>5</v>
      </c>
      <c r="B40" s="55" t="s">
        <v>47</v>
      </c>
      <c r="C40" s="56" t="s">
        <v>77</v>
      </c>
      <c r="D40" s="88">
        <f t="shared" si="2"/>
        <v>0</v>
      </c>
      <c r="E40" s="88">
        <f t="shared" si="0"/>
        <v>0</v>
      </c>
      <c r="F40" s="88">
        <f t="shared" si="3"/>
        <v>0</v>
      </c>
      <c r="G40" s="88">
        <f t="shared" si="10"/>
        <v>0</v>
      </c>
      <c r="H40" s="92">
        <v>0</v>
      </c>
      <c r="I40" s="57">
        <f t="shared" si="16"/>
        <v>0</v>
      </c>
      <c r="J40" s="58">
        <f t="shared" si="13"/>
        <v>0</v>
      </c>
      <c r="K40" s="57">
        <f>H40</f>
        <v>0</v>
      </c>
      <c r="L40" s="57">
        <f t="shared" si="4"/>
        <v>0</v>
      </c>
      <c r="M40" s="92">
        <v>0</v>
      </c>
      <c r="N40" s="57">
        <f t="shared" si="7"/>
        <v>0</v>
      </c>
      <c r="O40" s="58">
        <f t="shared" si="14"/>
        <v>0</v>
      </c>
      <c r="P40" s="57">
        <f>M40</f>
        <v>0</v>
      </c>
      <c r="Q40" s="57">
        <f t="shared" si="8"/>
        <v>0</v>
      </c>
      <c r="R40" s="92">
        <v>0</v>
      </c>
      <c r="S40" s="57">
        <f t="shared" si="11"/>
        <v>0</v>
      </c>
      <c r="T40" s="58">
        <f t="shared" si="15"/>
        <v>0</v>
      </c>
      <c r="U40" s="57">
        <f>R40</f>
        <v>0</v>
      </c>
      <c r="V40" s="57">
        <f t="shared" si="12"/>
        <v>0</v>
      </c>
      <c r="W40" s="78">
        <v>0</v>
      </c>
      <c r="X40" s="60">
        <v>0</v>
      </c>
      <c r="Y40" s="61">
        <v>0</v>
      </c>
      <c r="Z40" s="60">
        <v>0</v>
      </c>
      <c r="AA40" s="61">
        <v>0</v>
      </c>
      <c r="AB40" s="60">
        <v>0</v>
      </c>
      <c r="AC40" s="61">
        <v>0</v>
      </c>
      <c r="AD40" s="60">
        <v>0</v>
      </c>
      <c r="AE40" s="27"/>
    </row>
    <row r="41" spans="1:31" s="28" customFormat="1" ht="16.5" customHeight="1">
      <c r="A41" s="11">
        <v>6</v>
      </c>
      <c r="B41" s="55" t="s">
        <v>48</v>
      </c>
      <c r="C41" s="56" t="s">
        <v>77</v>
      </c>
      <c r="D41" s="88">
        <f t="shared" si="2"/>
        <v>88644.662776</v>
      </c>
      <c r="E41" s="88">
        <f t="shared" si="0"/>
        <v>418.2529241886148</v>
      </c>
      <c r="F41" s="88">
        <f t="shared" si="3"/>
        <v>79706.79868269443</v>
      </c>
      <c r="G41" s="88">
        <f aca="true" t="shared" si="17" ref="G41:G47">ROUND(F41/$D$50*1000,2)</f>
        <v>376.08</v>
      </c>
      <c r="H41" s="57">
        <f>H31+H8</f>
        <v>44278.158012398184</v>
      </c>
      <c r="I41" s="57">
        <f t="shared" si="16"/>
        <v>293.371399076691</v>
      </c>
      <c r="J41" s="58">
        <f>K41/H41</f>
        <v>1</v>
      </c>
      <c r="K41" s="57">
        <f>K31+K8</f>
        <v>44278.158012398184</v>
      </c>
      <c r="L41" s="57">
        <f t="shared" si="4"/>
        <v>293.371399076691</v>
      </c>
      <c r="M41" s="57">
        <f>M31+M8</f>
        <v>36690.70282735465</v>
      </c>
      <c r="N41" s="57">
        <f t="shared" si="7"/>
        <v>727.1808581948117</v>
      </c>
      <c r="O41" s="58">
        <f>P41/M41</f>
        <v>0.7729166095386819</v>
      </c>
      <c r="P41" s="57">
        <f>P31+P8</f>
        <v>28358.85363091029</v>
      </c>
      <c r="Q41" s="57">
        <f t="shared" si="8"/>
        <v>562.0501634373629</v>
      </c>
      <c r="R41" s="57">
        <f>R31+R8</f>
        <v>7675.801936247172</v>
      </c>
      <c r="S41" s="57">
        <f t="shared" si="11"/>
        <v>727.1809298840775</v>
      </c>
      <c r="T41" s="58">
        <f>U41/R41</f>
        <v>0.9210486536918757</v>
      </c>
      <c r="U41" s="57">
        <f>U31+U8</f>
        <v>7069.787039385951</v>
      </c>
      <c r="V41" s="57">
        <f t="shared" si="12"/>
        <v>669.7690164601358</v>
      </c>
      <c r="W41" s="78">
        <v>19399.56</v>
      </c>
      <c r="X41" s="60">
        <v>316.46</v>
      </c>
      <c r="Y41" s="61">
        <v>13189.5</v>
      </c>
      <c r="Z41" s="60">
        <v>252.78</v>
      </c>
      <c r="AA41" s="61">
        <v>4924.47</v>
      </c>
      <c r="AB41" s="60">
        <v>680.64</v>
      </c>
      <c r="AC41" s="61">
        <v>1285.59</v>
      </c>
      <c r="AD41" s="60">
        <v>680.64</v>
      </c>
      <c r="AE41" s="27"/>
    </row>
    <row r="42" spans="1:31" s="28" customFormat="1" ht="18.75" customHeight="1">
      <c r="A42" s="11">
        <v>7</v>
      </c>
      <c r="B42" s="40" t="s">
        <v>50</v>
      </c>
      <c r="C42" s="56" t="s">
        <v>77</v>
      </c>
      <c r="D42" s="88">
        <f t="shared" si="2"/>
        <v>0</v>
      </c>
      <c r="E42" s="88">
        <f t="shared" si="0"/>
        <v>0</v>
      </c>
      <c r="F42" s="88">
        <f t="shared" si="3"/>
        <v>2125.7184402177745</v>
      </c>
      <c r="G42" s="88">
        <f t="shared" si="17"/>
        <v>10.03</v>
      </c>
      <c r="H42" s="57">
        <f>SUM(H43:H47)</f>
        <v>0</v>
      </c>
      <c r="I42" s="57">
        <f t="shared" si="16"/>
        <v>0</v>
      </c>
      <c r="J42" s="58">
        <f>IF(H42=0,0,K42/H42)</f>
        <v>0</v>
      </c>
      <c r="K42" s="57">
        <f>SUM(K43:K47)</f>
        <v>0</v>
      </c>
      <c r="L42" s="57">
        <f t="shared" si="4"/>
        <v>0</v>
      </c>
      <c r="M42" s="57">
        <f>SUM(M43:M47)</f>
        <v>0</v>
      </c>
      <c r="N42" s="57">
        <f t="shared" si="7"/>
        <v>0</v>
      </c>
      <c r="O42" s="58">
        <f>IF(M42=0,0,P42/M42)</f>
        <v>0</v>
      </c>
      <c r="P42" s="57">
        <f>SUM(P43:P47)</f>
        <v>1701.5312178546174</v>
      </c>
      <c r="Q42" s="57">
        <f t="shared" si="8"/>
        <v>33.72300980624177</v>
      </c>
      <c r="R42" s="57">
        <f>SUM(R43:R47)</f>
        <v>0</v>
      </c>
      <c r="S42" s="57">
        <f t="shared" si="11"/>
        <v>0</v>
      </c>
      <c r="T42" s="58">
        <f>IF(R42=0,0,U42/R42)</f>
        <v>0</v>
      </c>
      <c r="U42" s="57">
        <f>SUM(U43:U47)</f>
        <v>424.18722236315705</v>
      </c>
      <c r="V42" s="57">
        <f t="shared" si="12"/>
        <v>40.18614098760815</v>
      </c>
      <c r="W42" s="78">
        <v>0</v>
      </c>
      <c r="X42" s="60">
        <v>0</v>
      </c>
      <c r="Y42" s="61">
        <v>0</v>
      </c>
      <c r="Z42" s="60">
        <v>0</v>
      </c>
      <c r="AA42" s="61">
        <v>0</v>
      </c>
      <c r="AB42" s="60">
        <v>0</v>
      </c>
      <c r="AC42" s="61">
        <v>0</v>
      </c>
      <c r="AD42" s="60">
        <v>0</v>
      </c>
      <c r="AE42" s="27"/>
    </row>
    <row r="43" spans="1:110" ht="16.5" customHeight="1">
      <c r="A43" s="29" t="s">
        <v>51</v>
      </c>
      <c r="B43" s="36" t="s">
        <v>52</v>
      </c>
      <c r="C43" s="62" t="s">
        <v>77</v>
      </c>
      <c r="D43" s="89">
        <f t="shared" si="2"/>
        <v>0</v>
      </c>
      <c r="E43" s="89">
        <f t="shared" si="0"/>
        <v>0</v>
      </c>
      <c r="F43" s="89">
        <f t="shared" si="3"/>
        <v>0</v>
      </c>
      <c r="G43" s="89">
        <f t="shared" si="17"/>
        <v>0</v>
      </c>
      <c r="H43" s="90">
        <v>0</v>
      </c>
      <c r="I43" s="63">
        <f t="shared" si="16"/>
        <v>0</v>
      </c>
      <c r="J43" s="64">
        <f>IF(H43=0,0,1)</f>
        <v>0</v>
      </c>
      <c r="K43" s="63">
        <f>H43</f>
        <v>0</v>
      </c>
      <c r="L43" s="63">
        <f t="shared" si="4"/>
        <v>0</v>
      </c>
      <c r="M43" s="90">
        <v>0</v>
      </c>
      <c r="N43" s="63">
        <f t="shared" si="7"/>
        <v>0</v>
      </c>
      <c r="O43" s="64">
        <f t="shared" si="14"/>
        <v>0</v>
      </c>
      <c r="P43" s="63">
        <f>M43</f>
        <v>0</v>
      </c>
      <c r="Q43" s="63">
        <f t="shared" si="8"/>
        <v>0</v>
      </c>
      <c r="R43" s="90">
        <v>0</v>
      </c>
      <c r="S43" s="63">
        <f t="shared" si="11"/>
        <v>0</v>
      </c>
      <c r="T43" s="64">
        <f t="shared" si="15"/>
        <v>0</v>
      </c>
      <c r="U43" s="63">
        <f>R43</f>
        <v>0</v>
      </c>
      <c r="V43" s="63">
        <f t="shared" si="12"/>
        <v>0</v>
      </c>
      <c r="W43" s="69">
        <v>0</v>
      </c>
      <c r="X43" s="66">
        <v>0</v>
      </c>
      <c r="Y43" s="67">
        <v>0</v>
      </c>
      <c r="Z43" s="66">
        <v>0</v>
      </c>
      <c r="AA43" s="67">
        <v>0</v>
      </c>
      <c r="AB43" s="68">
        <v>0</v>
      </c>
      <c r="AC43" s="67">
        <v>0</v>
      </c>
      <c r="AD43" s="68">
        <v>0</v>
      </c>
      <c r="AE43" s="27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</row>
    <row r="44" spans="1:110" ht="16.5" customHeight="1" hidden="1">
      <c r="A44" s="29" t="s">
        <v>53</v>
      </c>
      <c r="B44" s="36" t="s">
        <v>54</v>
      </c>
      <c r="C44" s="62" t="s">
        <v>77</v>
      </c>
      <c r="D44" s="89">
        <f t="shared" si="2"/>
        <v>0</v>
      </c>
      <c r="E44" s="89">
        <f t="shared" si="0"/>
        <v>0</v>
      </c>
      <c r="F44" s="89">
        <f t="shared" si="3"/>
        <v>0</v>
      </c>
      <c r="G44" s="89">
        <f t="shared" si="17"/>
        <v>0</v>
      </c>
      <c r="H44" s="90">
        <v>0</v>
      </c>
      <c r="I44" s="63">
        <f t="shared" si="16"/>
        <v>0</v>
      </c>
      <c r="J44" s="64">
        <f>IF(H44=0,0,1)</f>
        <v>0</v>
      </c>
      <c r="K44" s="63">
        <v>0</v>
      </c>
      <c r="L44" s="63">
        <f t="shared" si="4"/>
        <v>0</v>
      </c>
      <c r="M44" s="90">
        <v>0</v>
      </c>
      <c r="N44" s="63">
        <f t="shared" si="7"/>
        <v>0</v>
      </c>
      <c r="O44" s="64">
        <f t="shared" si="14"/>
        <v>0</v>
      </c>
      <c r="P44" s="63">
        <f>M44</f>
        <v>0</v>
      </c>
      <c r="Q44" s="63">
        <f t="shared" si="8"/>
        <v>0</v>
      </c>
      <c r="R44" s="90">
        <v>0</v>
      </c>
      <c r="S44" s="63">
        <f t="shared" si="11"/>
        <v>0</v>
      </c>
      <c r="T44" s="64">
        <f t="shared" si="15"/>
        <v>0</v>
      </c>
      <c r="U44" s="63">
        <f>R44</f>
        <v>0</v>
      </c>
      <c r="V44" s="63">
        <f t="shared" si="12"/>
        <v>0</v>
      </c>
      <c r="W44" s="69">
        <v>0</v>
      </c>
      <c r="X44" s="66">
        <v>0</v>
      </c>
      <c r="Y44" s="67">
        <v>0</v>
      </c>
      <c r="Z44" s="66">
        <v>0</v>
      </c>
      <c r="AA44" s="67">
        <v>0</v>
      </c>
      <c r="AB44" s="68">
        <v>0</v>
      </c>
      <c r="AC44" s="67">
        <v>0</v>
      </c>
      <c r="AD44" s="68">
        <v>0</v>
      </c>
      <c r="AE44" s="27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</row>
    <row r="45" spans="1:110" ht="16.5" customHeight="1">
      <c r="A45" s="29" t="s">
        <v>53</v>
      </c>
      <c r="B45" s="36" t="s">
        <v>104</v>
      </c>
      <c r="C45" s="62" t="s">
        <v>77</v>
      </c>
      <c r="D45" s="89">
        <f t="shared" si="2"/>
        <v>0</v>
      </c>
      <c r="E45" s="89">
        <f t="shared" si="0"/>
        <v>0</v>
      </c>
      <c r="F45" s="89">
        <f t="shared" si="3"/>
        <v>0</v>
      </c>
      <c r="G45" s="89">
        <f t="shared" si="17"/>
        <v>0</v>
      </c>
      <c r="H45" s="90">
        <v>0</v>
      </c>
      <c r="I45" s="63">
        <f t="shared" si="16"/>
        <v>0</v>
      </c>
      <c r="J45" s="64">
        <f>IF(H45=0,0,1)</f>
        <v>0</v>
      </c>
      <c r="K45" s="63">
        <f>H45</f>
        <v>0</v>
      </c>
      <c r="L45" s="63">
        <f t="shared" si="4"/>
        <v>0</v>
      </c>
      <c r="M45" s="90">
        <v>0</v>
      </c>
      <c r="N45" s="63">
        <f t="shared" si="7"/>
        <v>0</v>
      </c>
      <c r="O45" s="64">
        <f t="shared" si="14"/>
        <v>0</v>
      </c>
      <c r="P45" s="63">
        <f>M45</f>
        <v>0</v>
      </c>
      <c r="Q45" s="63">
        <f t="shared" si="8"/>
        <v>0</v>
      </c>
      <c r="R45" s="90">
        <v>0</v>
      </c>
      <c r="S45" s="63">
        <f t="shared" si="11"/>
        <v>0</v>
      </c>
      <c r="T45" s="64">
        <f t="shared" si="15"/>
        <v>0</v>
      </c>
      <c r="U45" s="63">
        <f>R45</f>
        <v>0</v>
      </c>
      <c r="V45" s="63">
        <f t="shared" si="12"/>
        <v>0</v>
      </c>
      <c r="W45" s="69">
        <v>0</v>
      </c>
      <c r="X45" s="66">
        <v>0</v>
      </c>
      <c r="Y45" s="67">
        <v>0</v>
      </c>
      <c r="Z45" s="66">
        <v>0</v>
      </c>
      <c r="AA45" s="67">
        <v>0</v>
      </c>
      <c r="AB45" s="68">
        <v>0</v>
      </c>
      <c r="AC45" s="67">
        <v>0</v>
      </c>
      <c r="AD45" s="68">
        <v>0</v>
      </c>
      <c r="AE45" s="27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</row>
    <row r="46" spans="1:110" ht="17.25" customHeight="1">
      <c r="A46" s="29" t="s">
        <v>55</v>
      </c>
      <c r="B46" s="36" t="s">
        <v>56</v>
      </c>
      <c r="C46" s="62" t="s">
        <v>77</v>
      </c>
      <c r="D46" s="89">
        <f t="shared" si="2"/>
        <v>0</v>
      </c>
      <c r="E46" s="89">
        <f t="shared" si="0"/>
        <v>0</v>
      </c>
      <c r="F46" s="89">
        <f t="shared" si="3"/>
        <v>2125.7184402177745</v>
      </c>
      <c r="G46" s="89">
        <f t="shared" si="17"/>
        <v>10.03</v>
      </c>
      <c r="H46" s="90">
        <v>0</v>
      </c>
      <c r="I46" s="63">
        <f t="shared" si="16"/>
        <v>0</v>
      </c>
      <c r="J46" s="64">
        <f>IF(H46=0,0,1)</f>
        <v>0</v>
      </c>
      <c r="K46" s="63">
        <f>H46</f>
        <v>0</v>
      </c>
      <c r="L46" s="63">
        <f t="shared" si="4"/>
        <v>0</v>
      </c>
      <c r="M46" s="90">
        <v>0</v>
      </c>
      <c r="N46" s="63">
        <f t="shared" si="7"/>
        <v>0</v>
      </c>
      <c r="O46" s="64">
        <f t="shared" si="14"/>
        <v>0</v>
      </c>
      <c r="P46" s="63">
        <f>P41*0.06</f>
        <v>1701.5312178546174</v>
      </c>
      <c r="Q46" s="63">
        <f t="shared" si="8"/>
        <v>33.72300980624177</v>
      </c>
      <c r="R46" s="90">
        <v>0</v>
      </c>
      <c r="S46" s="63">
        <f t="shared" si="11"/>
        <v>0</v>
      </c>
      <c r="T46" s="64">
        <f t="shared" si="15"/>
        <v>0</v>
      </c>
      <c r="U46" s="63">
        <f>U41*0.06</f>
        <v>424.18722236315705</v>
      </c>
      <c r="V46" s="63">
        <f t="shared" si="12"/>
        <v>40.18614098760815</v>
      </c>
      <c r="W46" s="69">
        <v>0</v>
      </c>
      <c r="X46" s="66">
        <v>0</v>
      </c>
      <c r="Y46" s="67">
        <v>0</v>
      </c>
      <c r="Z46" s="66">
        <v>0</v>
      </c>
      <c r="AA46" s="67">
        <v>0</v>
      </c>
      <c r="AB46" s="68">
        <v>0</v>
      </c>
      <c r="AC46" s="67">
        <v>0</v>
      </c>
      <c r="AD46" s="68">
        <v>0</v>
      </c>
      <c r="AE46" s="27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</row>
    <row r="47" spans="1:110" ht="16.5" customHeight="1">
      <c r="A47" s="29" t="s">
        <v>57</v>
      </c>
      <c r="B47" s="36" t="s">
        <v>96</v>
      </c>
      <c r="C47" s="62" t="s">
        <v>77</v>
      </c>
      <c r="D47" s="89">
        <f t="shared" si="2"/>
        <v>0</v>
      </c>
      <c r="E47" s="89">
        <f t="shared" si="0"/>
        <v>0</v>
      </c>
      <c r="F47" s="89">
        <f t="shared" si="3"/>
        <v>0</v>
      </c>
      <c r="G47" s="89">
        <f t="shared" si="17"/>
        <v>0</v>
      </c>
      <c r="H47" s="90">
        <v>0</v>
      </c>
      <c r="I47" s="63">
        <f t="shared" si="16"/>
        <v>0</v>
      </c>
      <c r="J47" s="64">
        <f>IF(H47=0,0,1)</f>
        <v>0</v>
      </c>
      <c r="K47" s="63">
        <f>H47</f>
        <v>0</v>
      </c>
      <c r="L47" s="63">
        <f t="shared" si="4"/>
        <v>0</v>
      </c>
      <c r="M47" s="90">
        <v>0</v>
      </c>
      <c r="N47" s="63">
        <f t="shared" si="7"/>
        <v>0</v>
      </c>
      <c r="O47" s="64">
        <f t="shared" si="14"/>
        <v>0</v>
      </c>
      <c r="P47" s="63">
        <f>M47</f>
        <v>0</v>
      </c>
      <c r="Q47" s="63">
        <f t="shared" si="8"/>
        <v>0</v>
      </c>
      <c r="R47" s="90">
        <v>0</v>
      </c>
      <c r="S47" s="63">
        <f t="shared" si="11"/>
        <v>0</v>
      </c>
      <c r="T47" s="64">
        <f t="shared" si="15"/>
        <v>0</v>
      </c>
      <c r="U47" s="63">
        <f>R47</f>
        <v>0</v>
      </c>
      <c r="V47" s="63">
        <f t="shared" si="12"/>
        <v>0</v>
      </c>
      <c r="W47" s="69">
        <v>0</v>
      </c>
      <c r="X47" s="66">
        <v>0</v>
      </c>
      <c r="Y47" s="67">
        <v>0</v>
      </c>
      <c r="Z47" s="66">
        <v>0</v>
      </c>
      <c r="AA47" s="67">
        <v>0</v>
      </c>
      <c r="AB47" s="68">
        <v>0</v>
      </c>
      <c r="AC47" s="67">
        <v>0</v>
      </c>
      <c r="AD47" s="68">
        <v>0</v>
      </c>
      <c r="AE47" s="27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</row>
    <row r="48" spans="1:32" s="28" customFormat="1" ht="33" customHeight="1">
      <c r="A48" s="11">
        <v>8</v>
      </c>
      <c r="B48" s="55" t="s">
        <v>97</v>
      </c>
      <c r="C48" s="56" t="s">
        <v>77</v>
      </c>
      <c r="D48" s="88">
        <f t="shared" si="2"/>
        <v>88644.662776</v>
      </c>
      <c r="E48" s="88">
        <f>E41+E42</f>
        <v>418.2529241886148</v>
      </c>
      <c r="F48" s="88">
        <f t="shared" si="3"/>
        <v>81832.5171229122</v>
      </c>
      <c r="G48" s="88">
        <f>G41+G42</f>
        <v>386.10999999999996</v>
      </c>
      <c r="H48" s="57">
        <f>H41+H42</f>
        <v>44278.158012398184</v>
      </c>
      <c r="I48" s="57">
        <f>I41+I42</f>
        <v>293.371399076691</v>
      </c>
      <c r="J48" s="58">
        <f>K48/H48</f>
        <v>1</v>
      </c>
      <c r="K48" s="57">
        <f>K41+K42</f>
        <v>44278.158012398184</v>
      </c>
      <c r="L48" s="57">
        <f>L41+L42</f>
        <v>293.371399076691</v>
      </c>
      <c r="M48" s="57">
        <f>M41+M42</f>
        <v>36690.70282735465</v>
      </c>
      <c r="N48" s="57">
        <f>N41+N42</f>
        <v>727.1808581948117</v>
      </c>
      <c r="O48" s="58">
        <f>P48/M48</f>
        <v>0.8192916061110029</v>
      </c>
      <c r="P48" s="57">
        <f>P41+P42</f>
        <v>30060.38484876491</v>
      </c>
      <c r="Q48" s="57">
        <f>Q41+Q42</f>
        <v>595.7731732436047</v>
      </c>
      <c r="R48" s="57">
        <f>R41+R42</f>
        <v>7675.801936247172</v>
      </c>
      <c r="S48" s="57">
        <f>S41+S42</f>
        <v>727.1809298840775</v>
      </c>
      <c r="T48" s="58">
        <f>U48/R48</f>
        <v>0.9763115729133883</v>
      </c>
      <c r="U48" s="57">
        <f>U41+U42</f>
        <v>7493.974261749108</v>
      </c>
      <c r="V48" s="57">
        <f>V41+V42</f>
        <v>709.955157447744</v>
      </c>
      <c r="W48" s="78">
        <v>19399.56</v>
      </c>
      <c r="X48" s="60">
        <v>316.46</v>
      </c>
      <c r="Y48" s="61">
        <v>13189.5</v>
      </c>
      <c r="Z48" s="60">
        <v>252.78</v>
      </c>
      <c r="AA48" s="61">
        <v>4924.47</v>
      </c>
      <c r="AB48" s="60">
        <v>680.64</v>
      </c>
      <c r="AC48" s="61">
        <v>1285.59</v>
      </c>
      <c r="AD48" s="60">
        <v>680.64</v>
      </c>
      <c r="AE48" s="75">
        <f>((V48*U50)+(Q48*P50)+(I48*H50))/F50</f>
        <v>386.11111496765244</v>
      </c>
      <c r="AF48" s="27"/>
    </row>
    <row r="49" spans="1:31" s="28" customFormat="1" ht="22.5" customHeight="1">
      <c r="A49" s="11">
        <v>9</v>
      </c>
      <c r="B49" s="55" t="s">
        <v>98</v>
      </c>
      <c r="C49" s="38"/>
      <c r="D49" s="57"/>
      <c r="E49" s="88">
        <f>E48</f>
        <v>418.2529241886148</v>
      </c>
      <c r="F49" s="58"/>
      <c r="G49" s="88">
        <f>G48</f>
        <v>386.10999999999996</v>
      </c>
      <c r="H49" s="57"/>
      <c r="I49" s="57">
        <f>I48</f>
        <v>293.371399076691</v>
      </c>
      <c r="J49" s="58">
        <f>L49/I49</f>
        <v>1</v>
      </c>
      <c r="K49" s="57"/>
      <c r="L49" s="57">
        <f>L48</f>
        <v>293.371399076691</v>
      </c>
      <c r="M49" s="57"/>
      <c r="N49" s="57">
        <f>N48</f>
        <v>727.1808581948117</v>
      </c>
      <c r="O49" s="58">
        <f>Q49/N49</f>
        <v>0.8192916061110028</v>
      </c>
      <c r="P49" s="57"/>
      <c r="Q49" s="57">
        <f>Q48</f>
        <v>595.7731732436047</v>
      </c>
      <c r="R49" s="57"/>
      <c r="S49" s="57">
        <f>S48</f>
        <v>727.1809298840775</v>
      </c>
      <c r="T49" s="58">
        <f>V49/S49</f>
        <v>0.9763115729133882</v>
      </c>
      <c r="U49" s="57"/>
      <c r="V49" s="57">
        <f>V48</f>
        <v>709.955157447744</v>
      </c>
      <c r="W49" s="79">
        <v>316.46</v>
      </c>
      <c r="X49" s="60">
        <v>316.46</v>
      </c>
      <c r="Y49" s="60">
        <v>252.78</v>
      </c>
      <c r="Z49" s="60">
        <v>252.78</v>
      </c>
      <c r="AA49" s="60">
        <v>680.64</v>
      </c>
      <c r="AB49" s="60">
        <v>680.64</v>
      </c>
      <c r="AC49" s="60">
        <v>680.64</v>
      </c>
      <c r="AD49" s="60">
        <v>680.64</v>
      </c>
      <c r="AE49" s="75">
        <f>((S48*R50)+(N48*M50)+(I48*H50))/D50</f>
        <v>418.2529241886148</v>
      </c>
    </row>
    <row r="50" spans="1:22" s="28" customFormat="1" ht="30" customHeight="1">
      <c r="A50" s="11">
        <v>10</v>
      </c>
      <c r="B50" s="55" t="s">
        <v>59</v>
      </c>
      <c r="C50" s="56" t="s">
        <v>99</v>
      </c>
      <c r="D50" s="88">
        <f>H50+M50+R50</f>
        <v>211940.33</v>
      </c>
      <c r="E50" s="58"/>
      <c r="F50" s="88">
        <f>H50+P50+U50</f>
        <v>211940.33</v>
      </c>
      <c r="G50" s="57"/>
      <c r="H50" s="92">
        <v>150928.68</v>
      </c>
      <c r="I50" s="57"/>
      <c r="J50" s="58">
        <f>K50/H50</f>
        <v>1</v>
      </c>
      <c r="K50" s="57">
        <f>H50</f>
        <v>150928.68</v>
      </c>
      <c r="L50" s="57"/>
      <c r="M50" s="92">
        <v>50456.09</v>
      </c>
      <c r="N50" s="57"/>
      <c r="O50" s="58">
        <f>P50/M50</f>
        <v>1</v>
      </c>
      <c r="P50" s="57">
        <f>M50</f>
        <v>50456.09</v>
      </c>
      <c r="Q50" s="57"/>
      <c r="R50" s="92">
        <v>10555.56</v>
      </c>
      <c r="S50" s="57"/>
      <c r="T50" s="58">
        <f>U50/R50</f>
        <v>1</v>
      </c>
      <c r="U50" s="57">
        <f>R50</f>
        <v>10555.56</v>
      </c>
      <c r="V50" s="57"/>
    </row>
    <row r="51" spans="1:22" s="28" customFormat="1" ht="23.25" customHeight="1">
      <c r="A51" s="11">
        <v>11</v>
      </c>
      <c r="B51" s="55" t="s">
        <v>100</v>
      </c>
      <c r="C51" s="56"/>
      <c r="D51" s="88">
        <f>D42/D41*100</f>
        <v>0</v>
      </c>
      <c r="E51" s="88">
        <f aca="true" t="shared" si="18" ref="E51:V51">E42/E41*100</f>
        <v>0</v>
      </c>
      <c r="F51" s="88">
        <f t="shared" si="18"/>
        <v>2.6669223646530678</v>
      </c>
      <c r="G51" s="88">
        <f t="shared" si="18"/>
        <v>2.6669857477132526</v>
      </c>
      <c r="H51" s="57">
        <f t="shared" si="18"/>
        <v>0</v>
      </c>
      <c r="I51" s="79">
        <f t="shared" si="18"/>
        <v>0</v>
      </c>
      <c r="J51" s="58">
        <f>IF(H51=0,0,K51/H51)</f>
        <v>0</v>
      </c>
      <c r="K51" s="57">
        <f>K42/K41*100</f>
        <v>0</v>
      </c>
      <c r="L51" s="57">
        <f>L42/L41*100</f>
        <v>0</v>
      </c>
      <c r="M51" s="57">
        <f t="shared" si="18"/>
        <v>0</v>
      </c>
      <c r="N51" s="57">
        <f t="shared" si="18"/>
        <v>0</v>
      </c>
      <c r="O51" s="58">
        <f>IF(M51=0,0,P51/M51)</f>
        <v>0</v>
      </c>
      <c r="P51" s="57">
        <f t="shared" si="18"/>
        <v>6</v>
      </c>
      <c r="Q51" s="57">
        <f t="shared" si="18"/>
        <v>5.999999999999999</v>
      </c>
      <c r="R51" s="57">
        <f t="shared" si="18"/>
        <v>0</v>
      </c>
      <c r="S51" s="57">
        <f t="shared" si="18"/>
        <v>0</v>
      </c>
      <c r="T51" s="58">
        <f>IF(R51=0,0,U51/R51)</f>
        <v>0</v>
      </c>
      <c r="U51" s="57">
        <f t="shared" si="18"/>
        <v>6</v>
      </c>
      <c r="V51" s="57">
        <f t="shared" si="18"/>
        <v>6</v>
      </c>
    </row>
    <row r="52" ht="32.25" customHeight="1"/>
  </sheetData>
  <sheetProtection selectLockedCells="1" selectUnlockedCells="1"/>
  <mergeCells count="22">
    <mergeCell ref="R5:S5"/>
    <mergeCell ref="U5:V5"/>
    <mergeCell ref="W4:X4"/>
    <mergeCell ref="Y4:Z4"/>
    <mergeCell ref="AA4:AB4"/>
    <mergeCell ref="AC4:AD4"/>
    <mergeCell ref="D5:E5"/>
    <mergeCell ref="F5:G5"/>
    <mergeCell ref="H5:I5"/>
    <mergeCell ref="K5:L5"/>
    <mergeCell ref="M5:N5"/>
    <mergeCell ref="P5:Q5"/>
    <mergeCell ref="A2:V2"/>
    <mergeCell ref="B3:N3"/>
    <mergeCell ref="R3:S3"/>
    <mergeCell ref="U3:V3"/>
    <mergeCell ref="A4:A6"/>
    <mergeCell ref="B4:B6"/>
    <mergeCell ref="D4:G4"/>
    <mergeCell ref="H4:L4"/>
    <mergeCell ref="M4:Q4"/>
    <mergeCell ref="R4:V4"/>
  </mergeCells>
  <printOptions horizontalCentered="1"/>
  <pageMargins left="0.15763888888888888" right="0.15763888888888888" top="0.19652777777777777" bottom="0.15763888888888888" header="0.5118055555555555" footer="0.5118055555555555"/>
  <pageSetup firstPageNumber="1" useFirstPageNumber="1" horizontalDpi="300" verticalDpi="3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zoomScale="85" zoomScaleNormal="85" zoomScaleSheetLayoutView="85" zoomScalePageLayoutView="0" workbookViewId="0" topLeftCell="A25">
      <selection activeCell="E11" sqref="E11"/>
    </sheetView>
  </sheetViews>
  <sheetFormatPr defaultColWidth="9.140625" defaultRowHeight="12.75"/>
  <cols>
    <col min="1" max="1" width="8.421875" style="0" customWidth="1"/>
    <col min="2" max="2" width="40.7109375" style="0" customWidth="1"/>
    <col min="3" max="3" width="10.7109375" style="0" customWidth="1"/>
    <col min="4" max="4" width="10.28125" style="0" customWidth="1"/>
    <col min="5" max="5" width="10.57421875" style="0" customWidth="1"/>
    <col min="6" max="6" width="10.00390625" style="0" customWidth="1"/>
    <col min="7" max="7" width="10.57421875" style="0" customWidth="1"/>
    <col min="8" max="8" width="10.140625" style="0" customWidth="1"/>
    <col min="9" max="9" width="10.421875" style="0" customWidth="1"/>
    <col min="10" max="10" width="10.140625" style="0" customWidth="1"/>
  </cols>
  <sheetData>
    <row r="1" spans="1:10" ht="19.5">
      <c r="A1" s="101"/>
      <c r="B1" s="101"/>
      <c r="C1" s="101"/>
      <c r="D1" s="101"/>
      <c r="E1" s="102"/>
      <c r="F1" s="102"/>
      <c r="G1" s="101"/>
      <c r="H1" s="103" t="s">
        <v>108</v>
      </c>
      <c r="I1" s="104"/>
      <c r="J1" s="105"/>
    </row>
    <row r="2" spans="1:10" ht="19.5">
      <c r="A2" s="101"/>
      <c r="B2" s="101"/>
      <c r="C2" s="101"/>
      <c r="D2" s="101"/>
      <c r="E2" s="102"/>
      <c r="F2" s="102"/>
      <c r="G2" s="101"/>
      <c r="H2" s="106" t="s">
        <v>106</v>
      </c>
      <c r="I2" s="107"/>
      <c r="J2" s="105"/>
    </row>
    <row r="3" spans="1:10" ht="18.75">
      <c r="A3" s="101"/>
      <c r="B3" s="101"/>
      <c r="C3" s="101"/>
      <c r="D3" s="101"/>
      <c r="E3" s="102"/>
      <c r="F3" s="102"/>
      <c r="G3" s="101"/>
      <c r="H3" s="6" t="s">
        <v>109</v>
      </c>
      <c r="I3" s="107"/>
      <c r="J3" s="105"/>
    </row>
    <row r="4" spans="1:10" ht="13.5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spans="1:10" ht="18.75" customHeight="1">
      <c r="A5" s="259" t="s">
        <v>110</v>
      </c>
      <c r="B5" s="259"/>
      <c r="C5" s="259"/>
      <c r="D5" s="259"/>
      <c r="E5" s="259"/>
      <c r="F5" s="259"/>
      <c r="G5" s="259"/>
      <c r="H5" s="259"/>
      <c r="I5" s="259"/>
      <c r="J5" s="259"/>
    </row>
    <row r="6" spans="1:10" ht="18.75" customHeight="1">
      <c r="A6" s="259" t="str">
        <f>Додаток1!A3</f>
        <v>по КП "Лисичанськтепломережа" за 6 місяців  2021р.</v>
      </c>
      <c r="B6" s="259"/>
      <c r="C6" s="259"/>
      <c r="D6" s="259"/>
      <c r="E6" s="259"/>
      <c r="F6" s="259"/>
      <c r="G6" s="259"/>
      <c r="H6" s="259"/>
      <c r="I6" s="259"/>
      <c r="J6" s="259"/>
    </row>
    <row r="7" spans="1:10" ht="15.75">
      <c r="A7" s="108"/>
      <c r="B7" s="108"/>
      <c r="C7" s="109"/>
      <c r="D7" s="109"/>
      <c r="E7" s="109"/>
      <c r="F7" s="109"/>
      <c r="G7" s="109"/>
      <c r="H7" s="109"/>
      <c r="I7" s="101"/>
      <c r="J7" s="110" t="s">
        <v>111</v>
      </c>
    </row>
    <row r="8" spans="1:10" ht="52.5" customHeight="1">
      <c r="A8" s="260" t="s">
        <v>1</v>
      </c>
      <c r="B8" s="260" t="s">
        <v>2</v>
      </c>
      <c r="C8" s="260" t="s">
        <v>112</v>
      </c>
      <c r="D8" s="260"/>
      <c r="E8" s="260" t="s">
        <v>113</v>
      </c>
      <c r="F8" s="260"/>
      <c r="G8" s="260" t="s">
        <v>114</v>
      </c>
      <c r="H8" s="260"/>
      <c r="I8" s="260" t="s">
        <v>115</v>
      </c>
      <c r="J8" s="260"/>
    </row>
    <row r="9" spans="1:10" ht="45">
      <c r="A9" s="260"/>
      <c r="B9" s="260"/>
      <c r="C9" s="111" t="s">
        <v>7</v>
      </c>
      <c r="D9" s="111" t="s">
        <v>116</v>
      </c>
      <c r="E9" s="111" t="s">
        <v>7</v>
      </c>
      <c r="F9" s="111" t="s">
        <v>116</v>
      </c>
      <c r="G9" s="111" t="s">
        <v>7</v>
      </c>
      <c r="H9" s="111" t="s">
        <v>116</v>
      </c>
      <c r="I9" s="111" t="s">
        <v>7</v>
      </c>
      <c r="J9" s="111" t="s">
        <v>116</v>
      </c>
    </row>
    <row r="10" spans="1:10" ht="13.5">
      <c r="A10" s="112">
        <v>1</v>
      </c>
      <c r="B10" s="113">
        <v>2</v>
      </c>
      <c r="C10" s="113">
        <v>3</v>
      </c>
      <c r="D10" s="113">
        <v>4</v>
      </c>
      <c r="E10" s="113">
        <v>5</v>
      </c>
      <c r="F10" s="113">
        <v>6</v>
      </c>
      <c r="G10" s="113">
        <v>7</v>
      </c>
      <c r="H10" s="113">
        <v>8</v>
      </c>
      <c r="I10" s="113">
        <v>9</v>
      </c>
      <c r="J10" s="114">
        <v>10</v>
      </c>
    </row>
    <row r="11" spans="1:10" ht="33">
      <c r="A11" s="115">
        <v>1</v>
      </c>
      <c r="B11" s="116" t="s">
        <v>59</v>
      </c>
      <c r="C11" s="117">
        <f>E11+G11+I11</f>
        <v>211940.33</v>
      </c>
      <c r="D11" s="117"/>
      <c r="E11" s="117">
        <f>'Додаток2 скор'!H50</f>
        <v>150928.68</v>
      </c>
      <c r="F11" s="117"/>
      <c r="G11" s="117">
        <f>'Додаток2 скор'!P50</f>
        <v>50456.09</v>
      </c>
      <c r="H11" s="117"/>
      <c r="I11" s="117">
        <f>'Додаток2 скор'!U50</f>
        <v>10555.56</v>
      </c>
      <c r="J11" s="118"/>
    </row>
    <row r="12" spans="1:12" ht="49.5">
      <c r="A12" s="115">
        <v>2</v>
      </c>
      <c r="B12" s="116" t="s">
        <v>117</v>
      </c>
      <c r="C12" s="117">
        <f>E12+G12+I12</f>
        <v>0</v>
      </c>
      <c r="D12" s="117"/>
      <c r="E12" s="117"/>
      <c r="F12" s="117"/>
      <c r="G12" s="117"/>
      <c r="H12" s="117"/>
      <c r="I12" s="117"/>
      <c r="J12" s="118"/>
      <c r="L12" s="119"/>
    </row>
    <row r="13" spans="1:10" ht="18.75" customHeight="1">
      <c r="A13" s="261" t="s">
        <v>118</v>
      </c>
      <c r="B13" s="261"/>
      <c r="C13" s="261"/>
      <c r="D13" s="261"/>
      <c r="E13" s="261"/>
      <c r="F13" s="261"/>
      <c r="G13" s="261"/>
      <c r="H13" s="261"/>
      <c r="I13" s="261"/>
      <c r="J13" s="261"/>
    </row>
    <row r="14" spans="1:10" ht="49.5">
      <c r="A14" s="120">
        <v>3</v>
      </c>
      <c r="B14" s="121" t="s">
        <v>119</v>
      </c>
      <c r="C14" s="117">
        <f>ROUNDDOWN(C15+C20,2)</f>
        <v>79706.79</v>
      </c>
      <c r="D14" s="117"/>
      <c r="E14" s="117">
        <f>E15+E20</f>
        <v>44278.158012398184</v>
      </c>
      <c r="F14" s="117"/>
      <c r="G14" s="117">
        <f>G15+G20</f>
        <v>28358.85363091029</v>
      </c>
      <c r="H14" s="117"/>
      <c r="I14" s="117">
        <f>I15+I20</f>
        <v>7069.787039385951</v>
      </c>
      <c r="J14" s="117"/>
    </row>
    <row r="15" spans="1:10" ht="16.5">
      <c r="A15" s="122" t="s">
        <v>41</v>
      </c>
      <c r="B15" s="121" t="s">
        <v>120</v>
      </c>
      <c r="C15" s="123">
        <f>SUM(C16:C19)</f>
        <v>62820.08969669442</v>
      </c>
      <c r="D15" s="117">
        <f>ROUNDDOWN(C15/C11*1000,4)</f>
        <v>296.4046</v>
      </c>
      <c r="E15" s="117">
        <f>SUM(E16:E19)</f>
        <v>32252.656793252594</v>
      </c>
      <c r="F15" s="117">
        <f>ROUND(E15/E11*1000,2)</f>
        <v>213.69</v>
      </c>
      <c r="G15" s="117">
        <f>SUM(G16:G19)</f>
        <v>24338.67819567611</v>
      </c>
      <c r="H15" s="117">
        <f>ROUNDUP(G15/G11*1000,2)</f>
        <v>482.38</v>
      </c>
      <c r="I15" s="117">
        <f>SUM(I16:I19)</f>
        <v>6228.7547077657155</v>
      </c>
      <c r="J15" s="117">
        <f>ROUNDUP(I15/I11*1000,2)</f>
        <v>590.1</v>
      </c>
    </row>
    <row r="16" spans="1:10" ht="49.5">
      <c r="A16" s="124" t="s">
        <v>121</v>
      </c>
      <c r="B16" s="116" t="s">
        <v>122</v>
      </c>
      <c r="C16" s="125">
        <f>E16+G16+I16</f>
        <v>54287.13590669442</v>
      </c>
      <c r="D16" s="125">
        <f>C16/$C$11*1000</f>
        <v>256.14349051308176</v>
      </c>
      <c r="E16" s="125">
        <f>'Додаток2 скор'!H10</f>
        <v>26176.1</v>
      </c>
      <c r="F16" s="125">
        <f>E16/$E$11*1000</f>
        <v>173.43357140604422</v>
      </c>
      <c r="G16" s="125">
        <f>'Додаток2 скор'!P10</f>
        <v>22307.259803555644</v>
      </c>
      <c r="H16" s="125">
        <f>G16/$G$11*1000</f>
        <v>442.1123357667161</v>
      </c>
      <c r="I16" s="125">
        <f>'Додаток2 скор'!U10</f>
        <v>5803.776103138779</v>
      </c>
      <c r="J16" s="125">
        <f>I16/$I$11*1000</f>
        <v>549.8311887894891</v>
      </c>
    </row>
    <row r="17" spans="1:10" ht="49.5">
      <c r="A17" s="124" t="s">
        <v>123</v>
      </c>
      <c r="B17" s="116" t="s">
        <v>124</v>
      </c>
      <c r="C17" s="125">
        <f>E17+G17+I17</f>
        <v>8532.95379</v>
      </c>
      <c r="D17" s="125">
        <f>C17/$C$11*1000</f>
        <v>40.26111401260911</v>
      </c>
      <c r="E17" s="125">
        <f>'Додаток2 скор'!H13</f>
        <v>6076.556793252597</v>
      </c>
      <c r="F17" s="125">
        <f>E17/$E$11*1000</f>
        <v>40.26111401260911</v>
      </c>
      <c r="G17" s="125">
        <f>'Додаток2 скор'!P13</f>
        <v>2031.4183921204665</v>
      </c>
      <c r="H17" s="125">
        <f>G17/$G$11*1000</f>
        <v>40.26111401260911</v>
      </c>
      <c r="I17" s="125">
        <f>'Додаток2 скор'!U13</f>
        <v>424.97860462693626</v>
      </c>
      <c r="J17" s="125">
        <f>I17/$I$11*1000</f>
        <v>40.26111401260911</v>
      </c>
    </row>
    <row r="18" spans="1:10" ht="49.5">
      <c r="A18" s="124" t="s">
        <v>125</v>
      </c>
      <c r="B18" s="116" t="s">
        <v>126</v>
      </c>
      <c r="C18" s="125">
        <f>E18+G18+I18</f>
        <v>0</v>
      </c>
      <c r="D18" s="125">
        <f>C18/$C$11*1000</f>
        <v>0</v>
      </c>
      <c r="E18" s="125">
        <f>'Додаток2 скор'!K14</f>
        <v>0</v>
      </c>
      <c r="F18" s="125">
        <f>E18/$E$11*1000</f>
        <v>0</v>
      </c>
      <c r="G18" s="125">
        <f>'Додаток2 скор'!P14</f>
        <v>0</v>
      </c>
      <c r="H18" s="125">
        <f>G18/$G$11*1000</f>
        <v>0</v>
      </c>
      <c r="I18" s="125">
        <f>'Додаток2 скор'!U14</f>
        <v>0</v>
      </c>
      <c r="J18" s="125">
        <f>I18/$I$11*1000</f>
        <v>0</v>
      </c>
    </row>
    <row r="19" spans="1:10" ht="16.5">
      <c r="A19" s="124" t="s">
        <v>127</v>
      </c>
      <c r="B19" s="116" t="s">
        <v>128</v>
      </c>
      <c r="C19" s="125">
        <f>E19+G19+I19</f>
        <v>0</v>
      </c>
      <c r="D19" s="125">
        <f>C19/$C$11*1000</f>
        <v>0</v>
      </c>
      <c r="E19" s="125">
        <f>'Додаток2 скор'!K17</f>
        <v>0</v>
      </c>
      <c r="F19" s="125">
        <f>E19/$E$11*1000</f>
        <v>0</v>
      </c>
      <c r="G19" s="125">
        <f>'Додаток2 скор'!P17</f>
        <v>0</v>
      </c>
      <c r="H19" s="125">
        <f>G19/$G$11*1000</f>
        <v>0</v>
      </c>
      <c r="I19" s="125">
        <f>'Додаток2 скор'!U17</f>
        <v>0</v>
      </c>
      <c r="J19" s="125">
        <f>I19/$I$11*1000</f>
        <v>0</v>
      </c>
    </row>
    <row r="20" spans="1:10" ht="49.5">
      <c r="A20" s="122" t="s">
        <v>43</v>
      </c>
      <c r="B20" s="121" t="s">
        <v>129</v>
      </c>
      <c r="C20" s="117">
        <f>E20+G20+I20</f>
        <v>16886.708986000005</v>
      </c>
      <c r="D20" s="117" t="e">
        <f>ROUND(C20/C12/12*1000,2)</f>
        <v>#DIV/0!</v>
      </c>
      <c r="E20" s="117">
        <f>'Додаток2 скор'!H41-Двоставк!E15</f>
        <v>12025.50121914559</v>
      </c>
      <c r="F20" s="117" t="e">
        <f>E20/E12/12*1000</f>
        <v>#DIV/0!</v>
      </c>
      <c r="G20" s="57">
        <f>'Додаток2 скор'!P41-Двоставк!G15</f>
        <v>4020.1754352341777</v>
      </c>
      <c r="H20" s="117" t="e">
        <f>G20/G12/12*1000</f>
        <v>#DIV/0!</v>
      </c>
      <c r="I20" s="117">
        <f>'Додаток2 скор'!U41-Двоставк!I15</f>
        <v>841.0323316202357</v>
      </c>
      <c r="J20" s="117" t="e">
        <f>I20/I12/12*1000</f>
        <v>#DIV/0!</v>
      </c>
    </row>
    <row r="21" spans="1:10" ht="49.5">
      <c r="A21" s="120">
        <v>4</v>
      </c>
      <c r="B21" s="121" t="s">
        <v>130</v>
      </c>
      <c r="C21" s="117">
        <f>ROUNDUP(E21+G21+I21,2)</f>
        <v>2125.7200000000003</v>
      </c>
      <c r="D21" s="117"/>
      <c r="E21" s="117">
        <f>'Додаток2 скор'!H42</f>
        <v>0</v>
      </c>
      <c r="F21" s="117"/>
      <c r="G21" s="117">
        <f>'Додаток2 скор'!P42</f>
        <v>1701.5312178546174</v>
      </c>
      <c r="H21" s="117"/>
      <c r="I21" s="117">
        <f>'Додаток2 скор'!U42</f>
        <v>424.18722236315705</v>
      </c>
      <c r="J21" s="117"/>
    </row>
    <row r="22" spans="1:10" ht="16.5">
      <c r="A22" s="124" t="s">
        <v>131</v>
      </c>
      <c r="B22" s="116" t="s">
        <v>132</v>
      </c>
      <c r="C22" s="125">
        <f>E22+G22+I22</f>
        <v>1834.0459742065095</v>
      </c>
      <c r="D22" s="125">
        <f>ROUND(C22/C11*1000,2)</f>
        <v>8.65</v>
      </c>
      <c r="E22" s="125">
        <f>E$21/$E$14*E$15</f>
        <v>0</v>
      </c>
      <c r="F22" s="125">
        <f>ROUND(E22/E11*1000,2)</f>
        <v>0</v>
      </c>
      <c r="G22" s="125">
        <f>G$21/$G$14*G$15</f>
        <v>1460.3206917405666</v>
      </c>
      <c r="H22" s="125">
        <f>G22/G11*1000</f>
        <v>28.94240698675951</v>
      </c>
      <c r="I22" s="125">
        <f>I$21/$I$14*I$15</f>
        <v>373.72528246594294</v>
      </c>
      <c r="J22" s="125">
        <f>I22/I11*1000</f>
        <v>35.405538168125894</v>
      </c>
    </row>
    <row r="23" spans="1:10" ht="16.5">
      <c r="A23" s="124" t="s">
        <v>133</v>
      </c>
      <c r="B23" s="116" t="s">
        <v>134</v>
      </c>
      <c r="C23" s="125">
        <f>E23+G23+I23</f>
        <v>291.6724660112648</v>
      </c>
      <c r="D23" s="125" t="e">
        <f>ROUND(C23/12/C12*1000,2)</f>
        <v>#DIV/0!</v>
      </c>
      <c r="E23" s="125">
        <f>E$21/$E$14*E$20</f>
        <v>0</v>
      </c>
      <c r="F23" s="125" t="e">
        <f>ROUND(E23/12/E12*1000,2)</f>
        <v>#DIV/0!</v>
      </c>
      <c r="G23" s="125">
        <f>G$21/$G$14*G$20</f>
        <v>241.21052611405065</v>
      </c>
      <c r="H23" s="125" t="e">
        <f>ROUNDUP(G23/G12/12*1000,2)</f>
        <v>#DIV/0!</v>
      </c>
      <c r="I23" s="125">
        <f>I$21/$I$14*I$20</f>
        <v>50.461939897214144</v>
      </c>
      <c r="J23" s="125" t="e">
        <f>I23/I12/12*1000</f>
        <v>#DIV/0!</v>
      </c>
    </row>
    <row r="24" spans="1:10" ht="66">
      <c r="A24" s="120">
        <v>5</v>
      </c>
      <c r="B24" s="121" t="s">
        <v>135</v>
      </c>
      <c r="C24" s="117"/>
      <c r="D24" s="117">
        <f>ROUNDUP(D25+D26,2)</f>
        <v>305.06</v>
      </c>
      <c r="E24" s="117"/>
      <c r="F24" s="117">
        <f>F25+F26</f>
        <v>213.69</v>
      </c>
      <c r="G24" s="117"/>
      <c r="H24" s="117">
        <f>H25+H26</f>
        <v>511.3224069867595</v>
      </c>
      <c r="I24" s="117"/>
      <c r="J24" s="117">
        <f>ROUNDDOWN(J25+J26,2)</f>
        <v>625.5</v>
      </c>
    </row>
    <row r="25" spans="1:10" ht="16.5">
      <c r="A25" s="124" t="s">
        <v>136</v>
      </c>
      <c r="B25" s="116" t="s">
        <v>137</v>
      </c>
      <c r="C25" s="125"/>
      <c r="D25" s="125">
        <f>D15</f>
        <v>296.4046</v>
      </c>
      <c r="E25" s="125"/>
      <c r="F25" s="125">
        <f>F15</f>
        <v>213.69</v>
      </c>
      <c r="G25" s="125"/>
      <c r="H25" s="125">
        <f>H15</f>
        <v>482.38</v>
      </c>
      <c r="I25" s="125"/>
      <c r="J25" s="125">
        <f>J15</f>
        <v>590.1</v>
      </c>
    </row>
    <row r="26" spans="1:10" ht="16.5">
      <c r="A26" s="124" t="s">
        <v>138</v>
      </c>
      <c r="B26" s="116" t="s">
        <v>139</v>
      </c>
      <c r="C26" s="125"/>
      <c r="D26" s="125">
        <f>D22</f>
        <v>8.65</v>
      </c>
      <c r="E26" s="125"/>
      <c r="F26" s="125">
        <f>F22</f>
        <v>0</v>
      </c>
      <c r="G26" s="125"/>
      <c r="H26" s="125">
        <f>H22</f>
        <v>28.94240698675951</v>
      </c>
      <c r="I26" s="125"/>
      <c r="J26" s="125">
        <f>J22</f>
        <v>35.405538168125894</v>
      </c>
    </row>
    <row r="27" spans="1:10" ht="16.5" hidden="1">
      <c r="A27" s="124" t="s">
        <v>140</v>
      </c>
      <c r="B27" s="116" t="s">
        <v>141</v>
      </c>
      <c r="C27" s="126">
        <f>E27+G27+I27</f>
        <v>12.62</v>
      </c>
      <c r="D27" s="126">
        <v>0</v>
      </c>
      <c r="E27" s="126">
        <v>0</v>
      </c>
      <c r="F27" s="126">
        <v>0</v>
      </c>
      <c r="G27" s="126">
        <v>2.94</v>
      </c>
      <c r="H27" s="126">
        <v>0</v>
      </c>
      <c r="I27" s="126">
        <v>9.68</v>
      </c>
      <c r="J27" s="126">
        <v>0</v>
      </c>
    </row>
    <row r="28" spans="1:10" ht="99">
      <c r="A28" s="120">
        <v>6</v>
      </c>
      <c r="B28" s="127" t="s">
        <v>142</v>
      </c>
      <c r="C28" s="128"/>
      <c r="D28" s="128" t="e">
        <f>D29+D30</f>
        <v>#DIV/0!</v>
      </c>
      <c r="E28" s="128"/>
      <c r="F28" s="128" t="e">
        <f>F29+F30</f>
        <v>#DIV/0!</v>
      </c>
      <c r="G28" s="128"/>
      <c r="H28" s="128" t="e">
        <f>H29+H30</f>
        <v>#DIV/0!</v>
      </c>
      <c r="I28" s="128"/>
      <c r="J28" s="128" t="e">
        <f>ROUNDDOWN(J29+J30,2)</f>
        <v>#DIV/0!</v>
      </c>
    </row>
    <row r="29" spans="1:10" ht="16.5">
      <c r="A29" s="124" t="s">
        <v>143</v>
      </c>
      <c r="B29" s="116" t="s">
        <v>144</v>
      </c>
      <c r="C29" s="129"/>
      <c r="D29" s="129" t="e">
        <f>D20</f>
        <v>#DIV/0!</v>
      </c>
      <c r="E29" s="129"/>
      <c r="F29" s="129" t="e">
        <f>F20</f>
        <v>#DIV/0!</v>
      </c>
      <c r="G29" s="129"/>
      <c r="H29" s="129" t="e">
        <f>H20</f>
        <v>#DIV/0!</v>
      </c>
      <c r="I29" s="129"/>
      <c r="J29" s="129" t="e">
        <f>J20</f>
        <v>#DIV/0!</v>
      </c>
    </row>
    <row r="30" spans="1:10" ht="16.5">
      <c r="A30" s="124" t="s">
        <v>145</v>
      </c>
      <c r="B30" s="116" t="s">
        <v>139</v>
      </c>
      <c r="C30" s="129"/>
      <c r="D30" s="129" t="e">
        <f>D23</f>
        <v>#DIV/0!</v>
      </c>
      <c r="E30" s="129"/>
      <c r="F30" s="129" t="e">
        <f>F23</f>
        <v>#DIV/0!</v>
      </c>
      <c r="G30" s="129"/>
      <c r="H30" s="129" t="e">
        <f>H23</f>
        <v>#DIV/0!</v>
      </c>
      <c r="I30" s="129"/>
      <c r="J30" s="129" t="e">
        <f>J23</f>
        <v>#DIV/0!</v>
      </c>
    </row>
    <row r="31" spans="1:10" ht="13.5" hidden="1">
      <c r="A31" s="130" t="s">
        <v>146</v>
      </c>
      <c r="B31" s="131" t="s">
        <v>141</v>
      </c>
      <c r="C31" s="132">
        <v>2.8772614173753674</v>
      </c>
      <c r="D31" s="132"/>
      <c r="E31" s="132">
        <v>0</v>
      </c>
      <c r="F31" s="130">
        <f>E31/$E$11*1000</f>
        <v>0</v>
      </c>
      <c r="G31" s="132">
        <v>15</v>
      </c>
      <c r="H31" s="132"/>
      <c r="I31" s="132">
        <v>23.5</v>
      </c>
      <c r="J31" s="133"/>
    </row>
    <row r="32" spans="1:10" ht="18.75" customHeight="1">
      <c r="A32" s="262" t="s">
        <v>147</v>
      </c>
      <c r="B32" s="262"/>
      <c r="C32" s="262"/>
      <c r="D32" s="262"/>
      <c r="E32" s="262"/>
      <c r="F32" s="262"/>
      <c r="G32" s="262"/>
      <c r="H32" s="262"/>
      <c r="I32" s="262"/>
      <c r="J32" s="262"/>
    </row>
    <row r="33" spans="1:10" ht="49.5">
      <c r="A33" s="120">
        <v>7</v>
      </c>
      <c r="B33" s="121" t="s">
        <v>148</v>
      </c>
      <c r="C33" s="117" t="e">
        <f>E33+G33+I33</f>
        <v>#REF!</v>
      </c>
      <c r="D33" s="117" t="e">
        <f>C33/12/C12*1000</f>
        <v>#REF!</v>
      </c>
      <c r="E33" s="117" t="e">
        <f>#REF!</f>
        <v>#REF!</v>
      </c>
      <c r="F33" s="117" t="e">
        <f>ROUND(E33/E12/12*1000,24)</f>
        <v>#REF!</v>
      </c>
      <c r="G33" s="117" t="e">
        <f>#REF!</f>
        <v>#REF!</v>
      </c>
      <c r="H33" s="117" t="e">
        <f>ROUND(G33/G12/12*1000,2)</f>
        <v>#REF!</v>
      </c>
      <c r="I33" s="117" t="e">
        <f>#REF!</f>
        <v>#REF!</v>
      </c>
      <c r="J33" s="117" t="e">
        <f>ROUND(I33/I12/12*1000,2)</f>
        <v>#REF!</v>
      </c>
    </row>
    <row r="34" spans="1:10" ht="33">
      <c r="A34" s="115">
        <v>8</v>
      </c>
      <c r="B34" s="116" t="s">
        <v>149</v>
      </c>
      <c r="C34" s="125" t="e">
        <f>E34+G34+I34</f>
        <v>#REF!</v>
      </c>
      <c r="D34" s="125" t="e">
        <f>C34/C12/12*1000</f>
        <v>#REF!</v>
      </c>
      <c r="E34" s="125" t="e">
        <f>#REF!</f>
        <v>#REF!</v>
      </c>
      <c r="F34" s="125" t="e">
        <f>E34/E12/12*1000</f>
        <v>#REF!</v>
      </c>
      <c r="G34" s="125" t="e">
        <f>#REF!</f>
        <v>#REF!</v>
      </c>
      <c r="H34" s="125" t="e">
        <f>G34/G12/12*1000</f>
        <v>#REF!</v>
      </c>
      <c r="I34" s="125" t="e">
        <f>#REF!</f>
        <v>#REF!</v>
      </c>
      <c r="J34" s="125" t="e">
        <f>I34/I12/12*1000</f>
        <v>#REF!</v>
      </c>
    </row>
    <row r="35" spans="1:10" ht="82.5">
      <c r="A35" s="120">
        <v>9</v>
      </c>
      <c r="B35" s="121" t="s">
        <v>150</v>
      </c>
      <c r="C35" s="128"/>
      <c r="D35" s="128" t="e">
        <f>D36+D37</f>
        <v>#REF!</v>
      </c>
      <c r="E35" s="128"/>
      <c r="F35" s="128" t="e">
        <f>F36+F37</f>
        <v>#REF!</v>
      </c>
      <c r="G35" s="128"/>
      <c r="H35" s="128" t="e">
        <f>H36+H37</f>
        <v>#REF!</v>
      </c>
      <c r="I35" s="128"/>
      <c r="J35" s="128" t="e">
        <f>J36+J37</f>
        <v>#REF!</v>
      </c>
    </row>
    <row r="36" spans="1:10" ht="16.5">
      <c r="A36" s="124" t="s">
        <v>151</v>
      </c>
      <c r="B36" s="116" t="s">
        <v>144</v>
      </c>
      <c r="C36" s="125"/>
      <c r="D36" s="125" t="e">
        <f>D33</f>
        <v>#REF!</v>
      </c>
      <c r="E36" s="125"/>
      <c r="F36" s="125" t="e">
        <f>F33</f>
        <v>#REF!</v>
      </c>
      <c r="G36" s="125"/>
      <c r="H36" s="125" t="e">
        <f>H33</f>
        <v>#REF!</v>
      </c>
      <c r="I36" s="125"/>
      <c r="J36" s="125" t="e">
        <f>J33</f>
        <v>#REF!</v>
      </c>
    </row>
    <row r="37" spans="1:10" ht="16.5">
      <c r="A37" s="124" t="s">
        <v>152</v>
      </c>
      <c r="B37" s="116" t="s">
        <v>153</v>
      </c>
      <c r="C37" s="125"/>
      <c r="D37" s="125" t="e">
        <f>D34</f>
        <v>#REF!</v>
      </c>
      <c r="E37" s="125"/>
      <c r="F37" s="125" t="e">
        <f>F34</f>
        <v>#REF!</v>
      </c>
      <c r="G37" s="125"/>
      <c r="H37" s="125" t="e">
        <f>H34</f>
        <v>#REF!</v>
      </c>
      <c r="I37" s="125"/>
      <c r="J37" s="125" t="e">
        <f>J34</f>
        <v>#REF!</v>
      </c>
    </row>
    <row r="38" spans="1:10" ht="13.5" hidden="1">
      <c r="A38" s="130" t="s">
        <v>154</v>
      </c>
      <c r="B38" s="131" t="s">
        <v>141</v>
      </c>
      <c r="C38" s="130">
        <v>0.9693480929149638</v>
      </c>
      <c r="D38" s="130"/>
      <c r="E38" s="130">
        <v>0</v>
      </c>
      <c r="F38" s="130"/>
      <c r="G38" s="130">
        <v>3.84</v>
      </c>
      <c r="H38" s="130"/>
      <c r="I38" s="130">
        <v>10.7</v>
      </c>
      <c r="J38" s="134"/>
    </row>
    <row r="39" spans="1:10" ht="18.75" customHeight="1">
      <c r="A39" s="262" t="s">
        <v>155</v>
      </c>
      <c r="B39" s="262"/>
      <c r="C39" s="262"/>
      <c r="D39" s="262"/>
      <c r="E39" s="262"/>
      <c r="F39" s="262"/>
      <c r="G39" s="262"/>
      <c r="H39" s="262"/>
      <c r="I39" s="262"/>
      <c r="J39" s="262"/>
    </row>
    <row r="40" spans="1:10" ht="49.5">
      <c r="A40" s="120">
        <v>10</v>
      </c>
      <c r="B40" s="121" t="s">
        <v>156</v>
      </c>
      <c r="C40" s="117" t="e">
        <f>E40+G40+I40</f>
        <v>#REF!</v>
      </c>
      <c r="D40" s="117" t="e">
        <f>ROUNDDOWN(C40/12/C12*1000,2)</f>
        <v>#REF!</v>
      </c>
      <c r="E40" s="117" t="e">
        <f>#REF!</f>
        <v>#REF!</v>
      </c>
      <c r="F40" s="117" t="e">
        <f>ROUND(E40/12/E12*1000,2)</f>
        <v>#REF!</v>
      </c>
      <c r="G40" s="117" t="e">
        <f>#REF!</f>
        <v>#REF!</v>
      </c>
      <c r="H40" s="117" t="e">
        <f>ROUND(G40/12/G12*1000,2)</f>
        <v>#REF!</v>
      </c>
      <c r="I40" s="117" t="e">
        <f>#REF!</f>
        <v>#REF!</v>
      </c>
      <c r="J40" s="117" t="e">
        <f>ROUND(I40/12/I12*1000,2)</f>
        <v>#REF!</v>
      </c>
    </row>
    <row r="41" spans="1:10" ht="33">
      <c r="A41" s="115">
        <v>11</v>
      </c>
      <c r="B41" s="116" t="s">
        <v>157</v>
      </c>
      <c r="C41" s="125" t="e">
        <f>E41+G41+I41</f>
        <v>#REF!</v>
      </c>
      <c r="D41" s="125" t="e">
        <f>C41/12/C12*1000</f>
        <v>#REF!</v>
      </c>
      <c r="E41" s="125" t="e">
        <f>#REF!</f>
        <v>#REF!</v>
      </c>
      <c r="F41" s="125" t="e">
        <f>E41/12/E12*1000</f>
        <v>#REF!</v>
      </c>
      <c r="G41" s="125" t="e">
        <f>#REF!</f>
        <v>#REF!</v>
      </c>
      <c r="H41" s="125" t="e">
        <f>G41/12/G12*1000</f>
        <v>#REF!</v>
      </c>
      <c r="I41" s="125" t="e">
        <f>#REF!</f>
        <v>#REF!</v>
      </c>
      <c r="J41" s="125" t="e">
        <f>I41/12/I12*1000</f>
        <v>#REF!</v>
      </c>
    </row>
    <row r="42" spans="1:10" ht="66">
      <c r="A42" s="120">
        <v>12</v>
      </c>
      <c r="B42" s="121" t="s">
        <v>158</v>
      </c>
      <c r="C42" s="117"/>
      <c r="D42" s="117" t="e">
        <f>D43+D44</f>
        <v>#REF!</v>
      </c>
      <c r="E42" s="117"/>
      <c r="F42" s="117" t="e">
        <f>F43+F44</f>
        <v>#REF!</v>
      </c>
      <c r="G42" s="117"/>
      <c r="H42" s="117" t="e">
        <f>H43+H44</f>
        <v>#REF!</v>
      </c>
      <c r="I42" s="117"/>
      <c r="J42" s="117" t="e">
        <f>H42</f>
        <v>#REF!</v>
      </c>
    </row>
    <row r="43" spans="1:10" ht="16.5">
      <c r="A43" s="124" t="s">
        <v>159</v>
      </c>
      <c r="B43" s="116" t="s">
        <v>144</v>
      </c>
      <c r="C43" s="125"/>
      <c r="D43" s="125" t="e">
        <f>D40</f>
        <v>#REF!</v>
      </c>
      <c r="E43" s="125"/>
      <c r="F43" s="125" t="e">
        <f>F40</f>
        <v>#REF!</v>
      </c>
      <c r="G43" s="125"/>
      <c r="H43" s="125" t="e">
        <f>H40</f>
        <v>#REF!</v>
      </c>
      <c r="I43" s="125"/>
      <c r="J43" s="125" t="e">
        <f>J40</f>
        <v>#REF!</v>
      </c>
    </row>
    <row r="44" spans="1:10" ht="16.5">
      <c r="A44" s="124" t="s">
        <v>160</v>
      </c>
      <c r="B44" s="116" t="s">
        <v>161</v>
      </c>
      <c r="C44" s="125"/>
      <c r="D44" s="125" t="e">
        <f>D41</f>
        <v>#REF!</v>
      </c>
      <c r="E44" s="125"/>
      <c r="F44" s="125" t="e">
        <f>F41</f>
        <v>#REF!</v>
      </c>
      <c r="G44" s="125"/>
      <c r="H44" s="125" t="e">
        <f>H41</f>
        <v>#REF!</v>
      </c>
      <c r="I44" s="125"/>
      <c r="J44" s="125" t="e">
        <f>J41</f>
        <v>#REF!</v>
      </c>
    </row>
    <row r="45" spans="1:10" ht="18.75" customHeight="1">
      <c r="A45" s="263" t="s">
        <v>162</v>
      </c>
      <c r="B45" s="263"/>
      <c r="C45" s="263"/>
      <c r="D45" s="263"/>
      <c r="E45" s="263"/>
      <c r="F45" s="263"/>
      <c r="G45" s="263"/>
      <c r="H45" s="263"/>
      <c r="I45" s="263"/>
      <c r="J45" s="263"/>
    </row>
    <row r="46" spans="1:10" ht="49.5">
      <c r="A46" s="120">
        <v>13</v>
      </c>
      <c r="B46" s="121" t="s">
        <v>163</v>
      </c>
      <c r="C46" s="117"/>
      <c r="D46" s="117">
        <f>ROUNDUP(D47+D48,2)</f>
        <v>305.06</v>
      </c>
      <c r="E46" s="117"/>
      <c r="F46" s="117">
        <f>F47+F48</f>
        <v>213.69</v>
      </c>
      <c r="G46" s="117"/>
      <c r="H46" s="117">
        <f>H47+H48</f>
        <v>511.3224069867595</v>
      </c>
      <c r="I46" s="117"/>
      <c r="J46" s="117">
        <f>ROUNDDOWN(J47+J48,2)</f>
        <v>625.5</v>
      </c>
    </row>
    <row r="47" spans="1:10" ht="16.5">
      <c r="A47" s="124" t="s">
        <v>164</v>
      </c>
      <c r="B47" s="116" t="s">
        <v>144</v>
      </c>
      <c r="C47" s="125"/>
      <c r="D47" s="125">
        <f>D25</f>
        <v>296.4046</v>
      </c>
      <c r="E47" s="125"/>
      <c r="F47" s="125">
        <f>F25</f>
        <v>213.69</v>
      </c>
      <c r="G47" s="125"/>
      <c r="H47" s="125">
        <f>H25</f>
        <v>482.38</v>
      </c>
      <c r="I47" s="125"/>
      <c r="J47" s="125">
        <f>J25</f>
        <v>590.1</v>
      </c>
    </row>
    <row r="48" spans="1:10" ht="16.5">
      <c r="A48" s="124" t="s">
        <v>165</v>
      </c>
      <c r="B48" s="116" t="s">
        <v>139</v>
      </c>
      <c r="C48" s="125"/>
      <c r="D48" s="125">
        <f>D26</f>
        <v>8.65</v>
      </c>
      <c r="E48" s="125"/>
      <c r="F48" s="125">
        <f>F26</f>
        <v>0</v>
      </c>
      <c r="G48" s="125"/>
      <c r="H48" s="125">
        <f>H26</f>
        <v>28.94240698675951</v>
      </c>
      <c r="I48" s="125"/>
      <c r="J48" s="125">
        <f>J26</f>
        <v>35.405538168125894</v>
      </c>
    </row>
    <row r="49" spans="1:10" ht="16.5" hidden="1">
      <c r="A49" s="124" t="s">
        <v>166</v>
      </c>
      <c r="B49" s="116" t="s">
        <v>141</v>
      </c>
      <c r="C49" s="125"/>
      <c r="D49" s="125">
        <v>0</v>
      </c>
      <c r="E49" s="125"/>
      <c r="F49" s="125">
        <v>0</v>
      </c>
      <c r="G49" s="125"/>
      <c r="H49" s="125">
        <v>0</v>
      </c>
      <c r="I49" s="125"/>
      <c r="J49" s="125">
        <v>0</v>
      </c>
    </row>
    <row r="50" spans="1:10" ht="99">
      <c r="A50" s="120">
        <v>14</v>
      </c>
      <c r="B50" s="121" t="s">
        <v>167</v>
      </c>
      <c r="C50" s="117"/>
      <c r="D50" s="117" t="e">
        <f>D51+D52</f>
        <v>#DIV/0!</v>
      </c>
      <c r="E50" s="117"/>
      <c r="F50" s="117" t="e">
        <f>ROUNDUP(F51+F52,2)</f>
        <v>#DIV/0!</v>
      </c>
      <c r="G50" s="117"/>
      <c r="H50" s="117" t="e">
        <f>H51+H52</f>
        <v>#DIV/0!</v>
      </c>
      <c r="I50" s="117"/>
      <c r="J50" s="117" t="e">
        <f>J51+J52</f>
        <v>#DIV/0!</v>
      </c>
    </row>
    <row r="51" spans="1:10" ht="16.5">
      <c r="A51" s="124" t="s">
        <v>168</v>
      </c>
      <c r="B51" s="116" t="s">
        <v>144</v>
      </c>
      <c r="C51" s="125"/>
      <c r="D51" s="125" t="e">
        <f>D29+D36+D43</f>
        <v>#DIV/0!</v>
      </c>
      <c r="E51" s="125"/>
      <c r="F51" s="125" t="e">
        <f>ROUNDUP(F29+F36+F43,2)</f>
        <v>#DIV/0!</v>
      </c>
      <c r="G51" s="125"/>
      <c r="H51" s="125" t="e">
        <f>H29+H36+H43</f>
        <v>#DIV/0!</v>
      </c>
      <c r="I51" s="125"/>
      <c r="J51" s="125" t="e">
        <f>J29+J36+J43</f>
        <v>#DIV/0!</v>
      </c>
    </row>
    <row r="52" spans="1:10" ht="16.5">
      <c r="A52" s="124" t="s">
        <v>169</v>
      </c>
      <c r="B52" s="116" t="s">
        <v>139</v>
      </c>
      <c r="C52" s="125"/>
      <c r="D52" s="125" t="e">
        <f>D30+D37+D44</f>
        <v>#DIV/0!</v>
      </c>
      <c r="E52" s="125"/>
      <c r="F52" s="125" t="e">
        <f>F30+F37+F44</f>
        <v>#DIV/0!</v>
      </c>
      <c r="G52" s="125"/>
      <c r="H52" s="125" t="e">
        <f>H30+H37+H44</f>
        <v>#DIV/0!</v>
      </c>
      <c r="I52" s="125"/>
      <c r="J52" s="125" t="e">
        <f>J30+J37+J44</f>
        <v>#DIV/0!</v>
      </c>
    </row>
    <row r="53" spans="1:10" ht="13.5" hidden="1">
      <c r="A53" s="135" t="s">
        <v>170</v>
      </c>
      <c r="B53" s="136" t="s">
        <v>141</v>
      </c>
      <c r="C53" s="137">
        <v>1.9263131866225296</v>
      </c>
      <c r="D53" s="137"/>
      <c r="E53" s="137">
        <v>0</v>
      </c>
      <c r="F53" s="137"/>
      <c r="G53" s="137">
        <v>9.878633500908602</v>
      </c>
      <c r="H53" s="137"/>
      <c r="I53" s="137">
        <v>17.62603125552242</v>
      </c>
      <c r="J53" s="138"/>
    </row>
    <row r="54" spans="1:10" ht="13.5">
      <c r="A54" s="108"/>
      <c r="B54" s="108"/>
      <c r="C54" s="108"/>
      <c r="D54" s="108"/>
      <c r="E54" s="108"/>
      <c r="F54" s="108"/>
      <c r="G54" s="108"/>
      <c r="H54" s="108"/>
      <c r="I54" s="108"/>
      <c r="J54" s="138"/>
    </row>
    <row r="55" spans="1:10" ht="13.5">
      <c r="A55" s="108"/>
      <c r="B55" s="108"/>
      <c r="C55" s="108"/>
      <c r="D55" s="108"/>
      <c r="E55" s="108"/>
      <c r="F55" s="108"/>
      <c r="G55" s="108"/>
      <c r="H55" s="108"/>
      <c r="I55" s="108"/>
      <c r="J55" s="138"/>
    </row>
    <row r="56" spans="1:10" ht="18.75">
      <c r="A56" s="139" t="s">
        <v>171</v>
      </c>
      <c r="B56" s="139"/>
      <c r="C56" s="140"/>
      <c r="D56" s="140"/>
      <c r="E56" s="140"/>
      <c r="F56" s="140"/>
      <c r="G56" s="140"/>
      <c r="H56" s="139" t="s">
        <v>172</v>
      </c>
      <c r="J56" s="139"/>
    </row>
  </sheetData>
  <sheetProtection selectLockedCells="1" selectUnlockedCells="1"/>
  <mergeCells count="12">
    <mergeCell ref="A13:J13"/>
    <mergeCell ref="A32:J32"/>
    <mergeCell ref="A39:J39"/>
    <mergeCell ref="A45:J45"/>
    <mergeCell ref="A5:J5"/>
    <mergeCell ref="A6:J6"/>
    <mergeCell ref="A8:A9"/>
    <mergeCell ref="B8:B9"/>
    <mergeCell ref="C8:D8"/>
    <mergeCell ref="E8:F8"/>
    <mergeCell ref="G8:H8"/>
    <mergeCell ref="I8:J8"/>
  </mergeCells>
  <printOptions horizontalCentered="1"/>
  <pageMargins left="0" right="0" top="0.3" bottom="0.1701388888888889" header="0.5118055555555555" footer="0.5118055555555555"/>
  <pageSetup horizontalDpi="300" verticalDpi="3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M22"/>
  <sheetViews>
    <sheetView zoomScaleSheetLayoutView="100" zoomScalePageLayoutView="0" workbookViewId="0" topLeftCell="A10">
      <selection activeCell="C38" sqref="C38"/>
    </sheetView>
  </sheetViews>
  <sheetFormatPr defaultColWidth="9.140625" defaultRowHeight="12.75"/>
  <cols>
    <col min="1" max="1" width="7.28125" style="141" customWidth="1"/>
    <col min="2" max="2" width="46.7109375" style="141" customWidth="1"/>
    <col min="3" max="3" width="37.7109375" style="141" customWidth="1"/>
    <col min="4" max="5" width="9.140625" style="141" customWidth="1"/>
    <col min="6" max="6" width="33.57421875" style="141" customWidth="1"/>
    <col min="7" max="16384" width="9.140625" style="141" customWidth="1"/>
  </cols>
  <sheetData>
    <row r="1" spans="3:13" ht="15.75">
      <c r="C1" s="142" t="s">
        <v>173</v>
      </c>
      <c r="D1" s="143"/>
      <c r="E1" s="143"/>
      <c r="F1" s="143"/>
      <c r="G1" s="143"/>
      <c r="H1" s="143"/>
      <c r="I1" s="144"/>
      <c r="J1" s="144"/>
      <c r="K1" s="144"/>
      <c r="L1" s="144"/>
      <c r="M1" s="145"/>
    </row>
    <row r="2" spans="3:13" ht="15.75">
      <c r="C2" s="146" t="s">
        <v>174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3:13" ht="15.75">
      <c r="C3" s="148" t="s">
        <v>175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3:13" ht="15.75">
      <c r="C4" s="148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7" spans="2:3" ht="16.5">
      <c r="B7" s="264" t="s">
        <v>176</v>
      </c>
      <c r="C7" s="264"/>
    </row>
    <row r="8" spans="2:3" ht="16.5" customHeight="1">
      <c r="B8" s="264" t="str">
        <f>Додаток1!A3&amp;" на 2014 рік"</f>
        <v>по КП "Лисичанськтепломережа" за 6 місяців  2021р. на 2014 рік</v>
      </c>
      <c r="C8" s="264"/>
    </row>
    <row r="12" spans="2:3" ht="15.75">
      <c r="B12" s="150" t="s">
        <v>177</v>
      </c>
      <c r="C12" s="150" t="s">
        <v>178</v>
      </c>
    </row>
    <row r="13" spans="2:3" ht="15.75">
      <c r="B13" s="151" t="s">
        <v>179</v>
      </c>
      <c r="C13" s="152" t="e">
        <f>C14*1.2</f>
        <v>#REF!</v>
      </c>
    </row>
    <row r="14" spans="2:3" ht="15.75">
      <c r="B14" s="151" t="s">
        <v>180</v>
      </c>
      <c r="C14" s="152" t="e">
        <f>C15+C16+C17</f>
        <v>#REF!</v>
      </c>
    </row>
    <row r="15" spans="2:3" ht="15.75">
      <c r="B15" s="151" t="s">
        <v>181</v>
      </c>
      <c r="C15" s="152">
        <v>1526016.468158548</v>
      </c>
    </row>
    <row r="16" spans="2:6" ht="63">
      <c r="B16" s="151" t="s">
        <v>182</v>
      </c>
      <c r="C16" s="152" t="e">
        <f>Додаток1!C41*1000</f>
        <v>#REF!</v>
      </c>
      <c r="F16" s="153"/>
    </row>
    <row r="17" spans="2:3" ht="15.75">
      <c r="B17" s="151" t="s">
        <v>183</v>
      </c>
      <c r="C17" s="152">
        <v>0</v>
      </c>
    </row>
    <row r="20" spans="1:8" ht="58.5" customHeight="1">
      <c r="A20" s="154" t="s">
        <v>184</v>
      </c>
      <c r="B20" s="265" t="s">
        <v>185</v>
      </c>
      <c r="C20" s="265"/>
      <c r="D20" s="265"/>
      <c r="E20" s="155"/>
      <c r="F20" s="98"/>
      <c r="G20" s="98"/>
      <c r="H20" s="99"/>
    </row>
    <row r="21" spans="1:10" ht="15">
      <c r="A21" s="156"/>
      <c r="B21" s="156"/>
      <c r="C21" s="156"/>
      <c r="D21" s="156"/>
      <c r="E21" s="157"/>
      <c r="F21" s="157"/>
      <c r="G21" s="157"/>
      <c r="H21" s="157"/>
      <c r="I21" s="158"/>
      <c r="J21" s="159"/>
    </row>
    <row r="22" spans="1:4" s="161" customFormat="1" ht="45" customHeight="1">
      <c r="A22" s="160"/>
      <c r="B22" s="265" t="s">
        <v>186</v>
      </c>
      <c r="C22" s="265"/>
      <c r="D22" s="265"/>
    </row>
  </sheetData>
  <sheetProtection selectLockedCells="1" selectUnlockedCells="1"/>
  <mergeCells count="4">
    <mergeCell ref="B7:C7"/>
    <mergeCell ref="B8:C8"/>
    <mergeCell ref="B20:D20"/>
    <mergeCell ref="B22:D22"/>
  </mergeCells>
  <printOptions/>
  <pageMargins left="0.7" right="0.7" top="0.75" bottom="0.75" header="0.5118055555555555" footer="0.5118055555555555"/>
  <pageSetup horizontalDpi="300" verticalDpi="300" orientation="portrait" paperSize="9" scale="97" r:id="rId1"/>
  <colBreaks count="1" manualBreakCount="1">
    <brk id="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W57"/>
  <sheetViews>
    <sheetView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40" sqref="J40"/>
    </sheetView>
  </sheetViews>
  <sheetFormatPr defaultColWidth="11.57421875" defaultRowHeight="12.75"/>
  <cols>
    <col min="1" max="1" width="6.421875" style="162" customWidth="1"/>
    <col min="2" max="2" width="52.28125" style="162" customWidth="1"/>
    <col min="3" max="3" width="11.8515625" style="162" customWidth="1"/>
    <col min="4" max="4" width="12.57421875" style="163" customWidth="1"/>
    <col min="5" max="5" width="11.28125" style="163" customWidth="1"/>
    <col min="6" max="6" width="13.421875" style="163" customWidth="1"/>
    <col min="7" max="7" width="10.28125" style="163" customWidth="1"/>
    <col min="8" max="8" width="12.421875" style="163" customWidth="1"/>
    <col min="9" max="9" width="10.28125" style="163" customWidth="1"/>
    <col min="10" max="10" width="12.7109375" style="163" customWidth="1"/>
    <col min="11" max="20" width="0" style="162" hidden="1" customWidth="1"/>
    <col min="21" max="21" width="8.00390625" style="162" customWidth="1"/>
    <col min="22" max="16384" width="11.57421875" style="162" customWidth="1"/>
  </cols>
  <sheetData>
    <row r="1" spans="5:15" ht="19.5">
      <c r="E1" s="164"/>
      <c r="F1" s="164"/>
      <c r="H1" s="165" t="s">
        <v>108</v>
      </c>
      <c r="I1" s="166"/>
      <c r="J1" s="167"/>
      <c r="K1" s="100"/>
      <c r="L1" s="100"/>
      <c r="M1" s="100"/>
      <c r="N1" s="100"/>
      <c r="O1" s="100"/>
    </row>
    <row r="2" spans="5:15" ht="19.5">
      <c r="E2" s="164"/>
      <c r="F2" s="164"/>
      <c r="H2" s="3" t="s">
        <v>106</v>
      </c>
      <c r="I2" s="168"/>
      <c r="J2" s="167"/>
      <c r="K2" s="100"/>
      <c r="L2" s="100"/>
      <c r="M2" s="100"/>
      <c r="N2" s="100"/>
      <c r="O2" s="100"/>
    </row>
    <row r="3" spans="5:15" ht="19.5">
      <c r="E3" s="164"/>
      <c r="F3" s="164"/>
      <c r="H3" s="3" t="s">
        <v>187</v>
      </c>
      <c r="I3" s="168"/>
      <c r="J3" s="167"/>
      <c r="K3" s="100"/>
      <c r="L3" s="100"/>
      <c r="M3" s="100"/>
      <c r="N3" s="100"/>
      <c r="O3" s="100"/>
    </row>
    <row r="5" spans="1:10" ht="23.25" customHeight="1">
      <c r="A5" s="240" t="s">
        <v>188</v>
      </c>
      <c r="B5" s="240"/>
      <c r="C5" s="240"/>
      <c r="D5" s="240"/>
      <c r="E5" s="240"/>
      <c r="F5" s="240"/>
      <c r="G5" s="240"/>
      <c r="H5" s="240"/>
      <c r="I5" s="240"/>
      <c r="J5" s="240"/>
    </row>
    <row r="6" spans="1:10" ht="15.75" customHeight="1">
      <c r="A6" s="169"/>
      <c r="B6" s="169"/>
      <c r="C6" s="266"/>
      <c r="D6" s="266"/>
      <c r="E6" s="266"/>
      <c r="F6" s="266"/>
      <c r="G6" s="266"/>
      <c r="H6" s="170"/>
      <c r="J6" s="171" t="s">
        <v>111</v>
      </c>
    </row>
    <row r="7" spans="1:20" ht="48" customHeight="1">
      <c r="A7" s="242" t="s">
        <v>189</v>
      </c>
      <c r="B7" s="267" t="s">
        <v>2</v>
      </c>
      <c r="C7" s="268" t="s">
        <v>105</v>
      </c>
      <c r="D7" s="268"/>
      <c r="E7" s="268" t="s">
        <v>113</v>
      </c>
      <c r="F7" s="268"/>
      <c r="G7" s="268" t="s">
        <v>114</v>
      </c>
      <c r="H7" s="268"/>
      <c r="I7" s="268" t="s">
        <v>115</v>
      </c>
      <c r="J7" s="268"/>
      <c r="K7" s="242" t="s">
        <v>189</v>
      </c>
      <c r="L7" s="267" t="s">
        <v>2</v>
      </c>
      <c r="M7" s="268" t="s">
        <v>105</v>
      </c>
      <c r="N7" s="268"/>
      <c r="O7" s="268" t="s">
        <v>4</v>
      </c>
      <c r="P7" s="268"/>
      <c r="Q7" s="268" t="s">
        <v>107</v>
      </c>
      <c r="R7" s="268"/>
      <c r="S7" s="268" t="s">
        <v>190</v>
      </c>
      <c r="T7" s="268"/>
    </row>
    <row r="8" spans="1:20" ht="57.75" customHeight="1">
      <c r="A8" s="242"/>
      <c r="B8" s="267"/>
      <c r="C8" s="172" t="s">
        <v>9</v>
      </c>
      <c r="D8" s="172" t="s">
        <v>116</v>
      </c>
      <c r="E8" s="172" t="s">
        <v>9</v>
      </c>
      <c r="F8" s="172" t="s">
        <v>116</v>
      </c>
      <c r="G8" s="172" t="s">
        <v>9</v>
      </c>
      <c r="H8" s="172" t="s">
        <v>116</v>
      </c>
      <c r="I8" s="172" t="s">
        <v>9</v>
      </c>
      <c r="J8" s="172" t="s">
        <v>116</v>
      </c>
      <c r="K8" s="242"/>
      <c r="L8" s="267"/>
      <c r="M8" s="172" t="s">
        <v>9</v>
      </c>
      <c r="N8" s="172" t="s">
        <v>116</v>
      </c>
      <c r="O8" s="172" t="s">
        <v>9</v>
      </c>
      <c r="P8" s="172" t="s">
        <v>116</v>
      </c>
      <c r="Q8" s="172" t="s">
        <v>9</v>
      </c>
      <c r="R8" s="172" t="s">
        <v>116</v>
      </c>
      <c r="S8" s="172" t="s">
        <v>9</v>
      </c>
      <c r="T8" s="172" t="s">
        <v>116</v>
      </c>
    </row>
    <row r="9" spans="1:20" ht="13.5">
      <c r="A9" s="173">
        <v>1</v>
      </c>
      <c r="B9" s="174">
        <v>2</v>
      </c>
      <c r="C9" s="174">
        <v>3</v>
      </c>
      <c r="D9" s="175">
        <v>4</v>
      </c>
      <c r="E9" s="175">
        <v>5</v>
      </c>
      <c r="F9" s="175">
        <v>6</v>
      </c>
      <c r="G9" s="175">
        <v>7</v>
      </c>
      <c r="H9" s="175">
        <v>8</v>
      </c>
      <c r="I9" s="175">
        <v>9</v>
      </c>
      <c r="J9" s="176">
        <v>10</v>
      </c>
      <c r="K9" s="173">
        <v>1</v>
      </c>
      <c r="L9" s="174">
        <v>2</v>
      </c>
      <c r="M9" s="174">
        <v>3</v>
      </c>
      <c r="N9" s="175">
        <v>4</v>
      </c>
      <c r="O9" s="175">
        <v>5</v>
      </c>
      <c r="P9" s="175">
        <v>6</v>
      </c>
      <c r="Q9" s="175">
        <v>7</v>
      </c>
      <c r="R9" s="175">
        <v>8</v>
      </c>
      <c r="S9" s="175">
        <v>9</v>
      </c>
      <c r="T9" s="176">
        <v>10</v>
      </c>
    </row>
    <row r="10" spans="1:20" ht="33">
      <c r="A10" s="177">
        <v>1</v>
      </c>
      <c r="B10" s="178" t="s">
        <v>59</v>
      </c>
      <c r="C10" s="179">
        <f>E10+G10+I10</f>
        <v>239557.08</v>
      </c>
      <c r="D10" s="180"/>
      <c r="E10" s="179">
        <f>Додаток1!E45</f>
        <v>150928.68</v>
      </c>
      <c r="F10" s="14"/>
      <c r="G10" s="179">
        <f>Додаток1!G45</f>
        <v>88628.4</v>
      </c>
      <c r="H10" s="14"/>
      <c r="I10" s="179">
        <f>Додаток1!L45</f>
        <v>0</v>
      </c>
      <c r="J10" s="181"/>
      <c r="K10" s="177"/>
      <c r="L10" s="178"/>
      <c r="M10" s="63">
        <v>61301.9</v>
      </c>
      <c r="N10" s="182"/>
      <c r="O10" s="63">
        <v>52178.1</v>
      </c>
      <c r="P10" s="17"/>
      <c r="Q10" s="63">
        <v>7235</v>
      </c>
      <c r="R10" s="17"/>
      <c r="S10" s="63">
        <v>1888.8</v>
      </c>
      <c r="T10" s="181"/>
    </row>
    <row r="11" spans="1:20" ht="32.25" customHeight="1">
      <c r="A11" s="177">
        <v>2</v>
      </c>
      <c r="B11" s="178" t="s">
        <v>117</v>
      </c>
      <c r="C11" s="183">
        <f>SUM(E11,G11,I11)</f>
        <v>185.72670000000002</v>
      </c>
      <c r="D11" s="57"/>
      <c r="E11" s="184">
        <v>142.88998</v>
      </c>
      <c r="F11" s="57"/>
      <c r="G11" s="184">
        <v>36.582639</v>
      </c>
      <c r="H11" s="57"/>
      <c r="I11" s="184">
        <v>6.254081</v>
      </c>
      <c r="J11" s="181"/>
      <c r="K11" s="177"/>
      <c r="L11" s="178"/>
      <c r="M11" s="185">
        <v>32.722918924593344</v>
      </c>
      <c r="N11" s="63"/>
      <c r="O11" s="185">
        <v>27.848518924593343</v>
      </c>
      <c r="P11" s="63"/>
      <c r="Q11" s="185">
        <v>3.7959280000000013</v>
      </c>
      <c r="R11" s="63"/>
      <c r="S11" s="185">
        <v>1.0784720000000003</v>
      </c>
      <c r="T11" s="181"/>
    </row>
    <row r="12" spans="1:20" ht="18.75" customHeight="1">
      <c r="A12" s="270" t="s">
        <v>118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</row>
    <row r="13" spans="1:23" s="190" customFormat="1" ht="33">
      <c r="A13" s="186">
        <v>3</v>
      </c>
      <c r="B13" s="187" t="s">
        <v>119</v>
      </c>
      <c r="C13" s="179">
        <f>C14+C18</f>
        <v>88644.66277600001</v>
      </c>
      <c r="D13" s="57"/>
      <c r="E13" s="179">
        <f>E14+E18</f>
        <v>44278.158012398184</v>
      </c>
      <c r="F13" s="57"/>
      <c r="G13" s="179">
        <f>G14+G18</f>
        <v>36690.70282735465</v>
      </c>
      <c r="H13" s="57"/>
      <c r="I13" s="179">
        <f>I14+I18</f>
        <v>7675.801936247172</v>
      </c>
      <c r="J13" s="57"/>
      <c r="K13" s="86"/>
      <c r="L13" s="188"/>
      <c r="M13" s="189">
        <f>ROUND(C13,2)</f>
        <v>88644.66</v>
      </c>
      <c r="N13" s="57"/>
      <c r="O13" s="189">
        <f aca="true" t="shared" si="0" ref="O13:O52">ROUND(E13,2)</f>
        <v>44278.16</v>
      </c>
      <c r="P13" s="57"/>
      <c r="Q13" s="189">
        <f aca="true" t="shared" si="1" ref="Q13:Q52">ROUND(G13,2)</f>
        <v>36690.7</v>
      </c>
      <c r="R13" s="57"/>
      <c r="S13" s="189">
        <f aca="true" t="shared" si="2" ref="S13:S52">ROUND(I13,2)</f>
        <v>7675.8</v>
      </c>
      <c r="T13" s="57"/>
      <c r="V13" s="191"/>
      <c r="W13" s="191"/>
    </row>
    <row r="14" spans="1:21" s="190" customFormat="1" ht="16.5">
      <c r="A14" s="186" t="s">
        <v>41</v>
      </c>
      <c r="B14" s="187" t="s">
        <v>191</v>
      </c>
      <c r="C14" s="179">
        <f>SUM(C15:C17)</f>
        <v>71757.95379</v>
      </c>
      <c r="D14" s="179">
        <f>ROUND(C14/C10*1000,2)</f>
        <v>299.54</v>
      </c>
      <c r="E14" s="179">
        <f>SUM(E15:E17)</f>
        <v>32252.656793252594</v>
      </c>
      <c r="F14" s="179">
        <f>ROUND(E14/E10*1000,2)</f>
        <v>213.69</v>
      </c>
      <c r="G14" s="179">
        <f>SUM(G15:G17)</f>
        <v>32670.527392120468</v>
      </c>
      <c r="H14" s="179">
        <f>ROUND(G14/G10*1000,2)</f>
        <v>368.62</v>
      </c>
      <c r="I14" s="179">
        <f>SUM(I15:I17)</f>
        <v>6834.769604626937</v>
      </c>
      <c r="J14" s="179" t="e">
        <f>ROUND(I14/I10*1000,2)</f>
        <v>#DIV/0!</v>
      </c>
      <c r="K14" s="93"/>
      <c r="L14" s="188"/>
      <c r="M14" s="192">
        <f aca="true" t="shared" si="3" ref="M14:M52">ROUND(C14,2)</f>
        <v>71757.95</v>
      </c>
      <c r="N14" s="179">
        <f aca="true" t="shared" si="4" ref="N14:N52">ROUND(D14,2)</f>
        <v>299.54</v>
      </c>
      <c r="O14" s="189">
        <f t="shared" si="0"/>
        <v>32252.66</v>
      </c>
      <c r="P14" s="179">
        <f aca="true" t="shared" si="5" ref="P14:P52">ROUND(F14,2)</f>
        <v>213.69</v>
      </c>
      <c r="Q14" s="189">
        <f t="shared" si="1"/>
        <v>32670.53</v>
      </c>
      <c r="R14" s="179">
        <f aca="true" t="shared" si="6" ref="R14:R52">ROUND(H14,2)</f>
        <v>368.62</v>
      </c>
      <c r="S14" s="189">
        <f t="shared" si="2"/>
        <v>6834.77</v>
      </c>
      <c r="T14" s="179" t="e">
        <f aca="true" t="shared" si="7" ref="T14:T52">ROUND(J14,2)</f>
        <v>#DIV/0!</v>
      </c>
      <c r="U14" s="191"/>
    </row>
    <row r="15" spans="1:21" ht="32.25" customHeight="1">
      <c r="A15" s="20" t="s">
        <v>121</v>
      </c>
      <c r="B15" s="193" t="s">
        <v>122</v>
      </c>
      <c r="C15" s="194">
        <f>E15+G15+I15</f>
        <v>63225</v>
      </c>
      <c r="D15" s="194">
        <f>C15/$C$10*1000</f>
        <v>263.92457279910076</v>
      </c>
      <c r="E15" s="194">
        <f>'Додаток2 скор'!H10</f>
        <v>26176.1</v>
      </c>
      <c r="F15" s="194">
        <f>E15/$E$10*1000</f>
        <v>173.43357140604422</v>
      </c>
      <c r="G15" s="194">
        <f>'Додаток2 скор'!M10</f>
        <v>30639.109</v>
      </c>
      <c r="H15" s="194">
        <f>G15/$G$10*1000</f>
        <v>345.7030590645888</v>
      </c>
      <c r="I15" s="194">
        <f>'Додаток2 скор'!R10</f>
        <v>6409.791</v>
      </c>
      <c r="J15" s="194" t="e">
        <f>I15/$I$10*1000</f>
        <v>#DIV/0!</v>
      </c>
      <c r="K15" s="87"/>
      <c r="L15" s="178"/>
      <c r="M15" s="195">
        <f t="shared" si="3"/>
        <v>63225</v>
      </c>
      <c r="N15" s="194">
        <f t="shared" si="4"/>
        <v>263.92</v>
      </c>
      <c r="O15" s="195">
        <f t="shared" si="0"/>
        <v>26176.1</v>
      </c>
      <c r="P15" s="194">
        <f t="shared" si="5"/>
        <v>173.43</v>
      </c>
      <c r="Q15" s="195">
        <f t="shared" si="1"/>
        <v>30639.11</v>
      </c>
      <c r="R15" s="194">
        <f t="shared" si="6"/>
        <v>345.7</v>
      </c>
      <c r="S15" s="195">
        <f t="shared" si="2"/>
        <v>6409.79</v>
      </c>
      <c r="T15" s="194" t="e">
        <f t="shared" si="7"/>
        <v>#DIV/0!</v>
      </c>
      <c r="U15" s="191"/>
    </row>
    <row r="16" spans="1:21" ht="33">
      <c r="A16" s="20" t="s">
        <v>123</v>
      </c>
      <c r="B16" s="193" t="s">
        <v>124</v>
      </c>
      <c r="C16" s="194">
        <f>E16+G16+I16</f>
        <v>8532.95379</v>
      </c>
      <c r="D16" s="194">
        <f>C16/$C$10*1000</f>
        <v>35.619710300359316</v>
      </c>
      <c r="E16" s="194">
        <f>'Додаток2 скор'!H13</f>
        <v>6076.556793252597</v>
      </c>
      <c r="F16" s="194">
        <f>E16/$E$10*1000</f>
        <v>40.26111401260911</v>
      </c>
      <c r="G16" s="194">
        <f>'Додаток2 скор'!M13</f>
        <v>2031.4183921204665</v>
      </c>
      <c r="H16" s="194">
        <f>G16/$G$10*1000</f>
        <v>22.920625805277616</v>
      </c>
      <c r="I16" s="194">
        <f>'Додаток2 скор'!R13</f>
        <v>424.97860462693626</v>
      </c>
      <c r="J16" s="194" t="e">
        <f>I16/$I$10*1000</f>
        <v>#DIV/0!</v>
      </c>
      <c r="K16" s="87"/>
      <c r="L16" s="178"/>
      <c r="M16" s="195">
        <f t="shared" si="3"/>
        <v>8532.95</v>
      </c>
      <c r="N16" s="194">
        <f t="shared" si="4"/>
        <v>35.62</v>
      </c>
      <c r="O16" s="195">
        <f t="shared" si="0"/>
        <v>6076.56</v>
      </c>
      <c r="P16" s="194">
        <f t="shared" si="5"/>
        <v>40.26</v>
      </c>
      <c r="Q16" s="195">
        <f t="shared" si="1"/>
        <v>2031.42</v>
      </c>
      <c r="R16" s="194">
        <f t="shared" si="6"/>
        <v>22.92</v>
      </c>
      <c r="S16" s="195">
        <f t="shared" si="2"/>
        <v>424.98</v>
      </c>
      <c r="T16" s="194" t="e">
        <f t="shared" si="7"/>
        <v>#DIV/0!</v>
      </c>
      <c r="U16" s="191"/>
    </row>
    <row r="17" spans="1:21" ht="51.75" customHeight="1">
      <c r="A17" s="20" t="s">
        <v>125</v>
      </c>
      <c r="B17" s="193" t="s">
        <v>192</v>
      </c>
      <c r="C17" s="194">
        <f>E17+G17+I17</f>
        <v>0</v>
      </c>
      <c r="D17" s="194">
        <f>C17/$C$10*1000</f>
        <v>0</v>
      </c>
      <c r="E17" s="194">
        <f>'Додаток2 скор'!H14</f>
        <v>0</v>
      </c>
      <c r="F17" s="194">
        <f>E17/$E$10*1000</f>
        <v>0</v>
      </c>
      <c r="G17" s="194">
        <f>'Додаток2 скор'!M14</f>
        <v>0</v>
      </c>
      <c r="H17" s="194">
        <f>G17/$G$10*1000</f>
        <v>0</v>
      </c>
      <c r="I17" s="194">
        <f>'Додаток2 скор'!R14</f>
        <v>0</v>
      </c>
      <c r="J17" s="194" t="e">
        <f>I17/$I$10*1000</f>
        <v>#DIV/0!</v>
      </c>
      <c r="K17" s="87"/>
      <c r="L17" s="178"/>
      <c r="M17" s="195">
        <f t="shared" si="3"/>
        <v>0</v>
      </c>
      <c r="N17" s="194">
        <f t="shared" si="4"/>
        <v>0</v>
      </c>
      <c r="O17" s="195">
        <f t="shared" si="0"/>
        <v>0</v>
      </c>
      <c r="P17" s="194">
        <f t="shared" si="5"/>
        <v>0</v>
      </c>
      <c r="Q17" s="195">
        <f t="shared" si="1"/>
        <v>0</v>
      </c>
      <c r="R17" s="194">
        <f t="shared" si="6"/>
        <v>0</v>
      </c>
      <c r="S17" s="195">
        <f t="shared" si="2"/>
        <v>0</v>
      </c>
      <c r="T17" s="194" t="e">
        <f t="shared" si="7"/>
        <v>#DIV/0!</v>
      </c>
      <c r="U17" s="191"/>
    </row>
    <row r="18" spans="1:21" s="190" customFormat="1" ht="51.75" customHeight="1">
      <c r="A18" s="186" t="s">
        <v>43</v>
      </c>
      <c r="B18" s="187" t="s">
        <v>193</v>
      </c>
      <c r="C18" s="179">
        <f>E18+G18+I18</f>
        <v>16886.708986000012</v>
      </c>
      <c r="D18" s="179">
        <f>ROUND(C18/C11/12*1000,2)</f>
        <v>7576.86</v>
      </c>
      <c r="E18" s="179">
        <f>'Додаток2 скор'!H48-'Додаток 5'!E14</f>
        <v>12025.50121914559</v>
      </c>
      <c r="F18" s="179">
        <f>ROUND(E18/E11/12*1000,2)</f>
        <v>7013.26</v>
      </c>
      <c r="G18" s="179">
        <f>'Додаток2 скор'!M41-'Додаток 5'!G14</f>
        <v>4020.175435234185</v>
      </c>
      <c r="H18" s="179">
        <f>ROUND(G18/G11/12*1000,2)</f>
        <v>9157.75</v>
      </c>
      <c r="I18" s="179">
        <f>'Додаток2 скор'!R41-'Додаток 5'!I14</f>
        <v>841.0323316202357</v>
      </c>
      <c r="J18" s="179">
        <f>ROUND(I18/I11/12*1000,2)</f>
        <v>11206.45</v>
      </c>
      <c r="K18" s="93"/>
      <c r="L18" s="188"/>
      <c r="M18" s="189">
        <f t="shared" si="3"/>
        <v>16886.71</v>
      </c>
      <c r="N18" s="179">
        <f t="shared" si="4"/>
        <v>7576.86</v>
      </c>
      <c r="O18" s="189">
        <f t="shared" si="0"/>
        <v>12025.5</v>
      </c>
      <c r="P18" s="179">
        <f t="shared" si="5"/>
        <v>7013.26</v>
      </c>
      <c r="Q18" s="189">
        <f t="shared" si="1"/>
        <v>4020.18</v>
      </c>
      <c r="R18" s="179">
        <f t="shared" si="6"/>
        <v>9157.75</v>
      </c>
      <c r="S18" s="189">
        <f t="shared" si="2"/>
        <v>841.03</v>
      </c>
      <c r="T18" s="179">
        <f t="shared" si="7"/>
        <v>11206.45</v>
      </c>
      <c r="U18" s="191"/>
    </row>
    <row r="19" spans="1:20" s="190" customFormat="1" ht="34.5" customHeight="1">
      <c r="A19" s="186">
        <v>4</v>
      </c>
      <c r="B19" s="187" t="s">
        <v>130</v>
      </c>
      <c r="C19" s="179">
        <f aca="true" t="shared" si="8" ref="C19:C25">E19+G19+I19</f>
        <v>6713.228999999999</v>
      </c>
      <c r="D19" s="57"/>
      <c r="E19" s="179">
        <f>E20+E21</f>
        <v>0</v>
      </c>
      <c r="F19" s="57"/>
      <c r="G19" s="179">
        <f>G20+G21</f>
        <v>5733.11</v>
      </c>
      <c r="H19" s="57"/>
      <c r="I19" s="179">
        <f>I20+I21</f>
        <v>980.1189999999999</v>
      </c>
      <c r="J19" s="57"/>
      <c r="K19" s="86"/>
      <c r="L19" s="188"/>
      <c r="M19" s="189">
        <f t="shared" si="3"/>
        <v>6713.23</v>
      </c>
      <c r="N19" s="57"/>
      <c r="O19" s="189">
        <f t="shared" si="0"/>
        <v>0</v>
      </c>
      <c r="P19" s="57"/>
      <c r="Q19" s="189">
        <f t="shared" si="1"/>
        <v>5733.11</v>
      </c>
      <c r="R19" s="57"/>
      <c r="S19" s="189">
        <f t="shared" si="2"/>
        <v>980.12</v>
      </c>
      <c r="T19" s="57"/>
    </row>
    <row r="20" spans="1:20" ht="16.5">
      <c r="A20" s="20" t="s">
        <v>131</v>
      </c>
      <c r="B20" s="193" t="s">
        <v>132</v>
      </c>
      <c r="C20" s="194">
        <f t="shared" si="8"/>
        <v>5979.835</v>
      </c>
      <c r="D20" s="194">
        <f>ROUND(C20/C10*1000,2)</f>
        <v>24.96</v>
      </c>
      <c r="E20" s="63">
        <v>0</v>
      </c>
      <c r="F20" s="194">
        <f>ROUND(E20/E10*1000,2)</f>
        <v>0</v>
      </c>
      <c r="G20" s="63">
        <v>5106.79</v>
      </c>
      <c r="H20" s="194">
        <f>ROUND(G20/G10*1000,2)</f>
        <v>57.62</v>
      </c>
      <c r="I20" s="63">
        <v>873.045</v>
      </c>
      <c r="J20" s="194" t="e">
        <f>ROUND(I20/I10*1000,2)</f>
        <v>#DIV/0!</v>
      </c>
      <c r="K20" s="87"/>
      <c r="L20" s="178"/>
      <c r="M20" s="195">
        <f t="shared" si="3"/>
        <v>5979.84</v>
      </c>
      <c r="N20" s="194">
        <f t="shared" si="4"/>
        <v>24.96</v>
      </c>
      <c r="O20" s="195">
        <f t="shared" si="0"/>
        <v>0</v>
      </c>
      <c r="P20" s="194">
        <f t="shared" si="5"/>
        <v>0</v>
      </c>
      <c r="Q20" s="195">
        <f t="shared" si="1"/>
        <v>5106.79</v>
      </c>
      <c r="R20" s="194">
        <f t="shared" si="6"/>
        <v>57.62</v>
      </c>
      <c r="S20" s="195">
        <f t="shared" si="2"/>
        <v>873.05</v>
      </c>
      <c r="T20" s="194" t="e">
        <f t="shared" si="7"/>
        <v>#DIV/0!</v>
      </c>
    </row>
    <row r="21" spans="1:20" ht="16.5">
      <c r="A21" s="20" t="s">
        <v>133</v>
      </c>
      <c r="B21" s="193" t="s">
        <v>134</v>
      </c>
      <c r="C21" s="194">
        <f t="shared" si="8"/>
        <v>733.394</v>
      </c>
      <c r="D21" s="194">
        <f>ROUND(C21/12/C11*1000,2)</f>
        <v>329.07</v>
      </c>
      <c r="E21" s="63">
        <v>0</v>
      </c>
      <c r="F21" s="194">
        <f>ROUND(E21/12/E11*1000,2)</f>
        <v>0</v>
      </c>
      <c r="G21" s="63">
        <v>626.32</v>
      </c>
      <c r="H21" s="194">
        <f>ROUND(G21/12/G11*1000,2)</f>
        <v>1426.72</v>
      </c>
      <c r="I21" s="63">
        <v>107.074</v>
      </c>
      <c r="J21" s="194">
        <f>ROUND(I21/12/I11*1000,2)</f>
        <v>1426.72</v>
      </c>
      <c r="K21" s="87"/>
      <c r="L21" s="178"/>
      <c r="M21" s="195">
        <f t="shared" si="3"/>
        <v>733.39</v>
      </c>
      <c r="N21" s="194">
        <f t="shared" si="4"/>
        <v>329.07</v>
      </c>
      <c r="O21" s="195">
        <f t="shared" si="0"/>
        <v>0</v>
      </c>
      <c r="P21" s="194">
        <f t="shared" si="5"/>
        <v>0</v>
      </c>
      <c r="Q21" s="195">
        <f t="shared" si="1"/>
        <v>626.32</v>
      </c>
      <c r="R21" s="194">
        <f t="shared" si="6"/>
        <v>1426.72</v>
      </c>
      <c r="S21" s="195">
        <f t="shared" si="2"/>
        <v>107.07</v>
      </c>
      <c r="T21" s="194">
        <f t="shared" si="7"/>
        <v>1426.72</v>
      </c>
    </row>
    <row r="22" spans="1:21" s="190" customFormat="1" ht="33.75" customHeight="1">
      <c r="A22" s="186">
        <v>5</v>
      </c>
      <c r="B22" s="187" t="s">
        <v>135</v>
      </c>
      <c r="C22" s="57"/>
      <c r="D22" s="179">
        <f>D23+D24</f>
        <v>324.5</v>
      </c>
      <c r="E22" s="57"/>
      <c r="F22" s="179">
        <f>F23+F24</f>
        <v>213.69</v>
      </c>
      <c r="G22" s="57"/>
      <c r="H22" s="179">
        <f>H23+H24</f>
        <v>426.24</v>
      </c>
      <c r="I22" s="57"/>
      <c r="J22" s="179" t="e">
        <f>J23+J24</f>
        <v>#DIV/0!</v>
      </c>
      <c r="K22" s="86"/>
      <c r="L22" s="188"/>
      <c r="M22" s="179">
        <f t="shared" si="3"/>
        <v>0</v>
      </c>
      <c r="N22" s="179">
        <f t="shared" si="4"/>
        <v>324.5</v>
      </c>
      <c r="O22" s="179">
        <f t="shared" si="0"/>
        <v>0</v>
      </c>
      <c r="P22" s="179">
        <f t="shared" si="5"/>
        <v>213.69</v>
      </c>
      <c r="Q22" s="179">
        <f t="shared" si="1"/>
        <v>0</v>
      </c>
      <c r="R22" s="179">
        <f t="shared" si="6"/>
        <v>426.24</v>
      </c>
      <c r="S22" s="179">
        <f t="shared" si="2"/>
        <v>0</v>
      </c>
      <c r="T22" s="179" t="e">
        <f t="shared" si="7"/>
        <v>#DIV/0!</v>
      </c>
      <c r="U22" s="191"/>
    </row>
    <row r="23" spans="1:21" ht="16.5">
      <c r="A23" s="20" t="s">
        <v>136</v>
      </c>
      <c r="B23" s="193" t="s">
        <v>137</v>
      </c>
      <c r="C23" s="63"/>
      <c r="D23" s="194">
        <f>D14</f>
        <v>299.54</v>
      </c>
      <c r="E23" s="63"/>
      <c r="F23" s="194">
        <f>F14</f>
        <v>213.69</v>
      </c>
      <c r="G23" s="63"/>
      <c r="H23" s="194">
        <f>H14</f>
        <v>368.62</v>
      </c>
      <c r="I23" s="63"/>
      <c r="J23" s="194" t="e">
        <f>J14</f>
        <v>#DIV/0!</v>
      </c>
      <c r="K23" s="87"/>
      <c r="L23" s="178"/>
      <c r="M23" s="194">
        <f t="shared" si="3"/>
        <v>0</v>
      </c>
      <c r="N23" s="194">
        <f t="shared" si="4"/>
        <v>299.54</v>
      </c>
      <c r="O23" s="194">
        <f t="shared" si="0"/>
        <v>0</v>
      </c>
      <c r="P23" s="194">
        <f t="shared" si="5"/>
        <v>213.69</v>
      </c>
      <c r="Q23" s="194">
        <f t="shared" si="1"/>
        <v>0</v>
      </c>
      <c r="R23" s="194">
        <f t="shared" si="6"/>
        <v>368.62</v>
      </c>
      <c r="S23" s="194">
        <f t="shared" si="2"/>
        <v>0</v>
      </c>
      <c r="T23" s="194" t="e">
        <f t="shared" si="7"/>
        <v>#DIV/0!</v>
      </c>
      <c r="U23" s="191"/>
    </row>
    <row r="24" spans="1:21" ht="16.5">
      <c r="A24" s="20" t="s">
        <v>138</v>
      </c>
      <c r="B24" s="193" t="s">
        <v>139</v>
      </c>
      <c r="C24" s="63"/>
      <c r="D24" s="194">
        <f>D20</f>
        <v>24.96</v>
      </c>
      <c r="E24" s="63"/>
      <c r="F24" s="194">
        <f>F20</f>
        <v>0</v>
      </c>
      <c r="G24" s="63"/>
      <c r="H24" s="194">
        <f>H20</f>
        <v>57.62</v>
      </c>
      <c r="I24" s="63"/>
      <c r="J24" s="194" t="e">
        <f>J20</f>
        <v>#DIV/0!</v>
      </c>
      <c r="K24" s="87"/>
      <c r="L24" s="178"/>
      <c r="M24" s="194">
        <f t="shared" si="3"/>
        <v>0</v>
      </c>
      <c r="N24" s="194">
        <f t="shared" si="4"/>
        <v>24.96</v>
      </c>
      <c r="O24" s="194">
        <f t="shared" si="0"/>
        <v>0</v>
      </c>
      <c r="P24" s="194">
        <f t="shared" si="5"/>
        <v>0</v>
      </c>
      <c r="Q24" s="194">
        <f t="shared" si="1"/>
        <v>0</v>
      </c>
      <c r="R24" s="194">
        <f t="shared" si="6"/>
        <v>57.62</v>
      </c>
      <c r="S24" s="194">
        <f t="shared" si="2"/>
        <v>0</v>
      </c>
      <c r="T24" s="194" t="e">
        <f t="shared" si="7"/>
        <v>#DIV/0!</v>
      </c>
      <c r="U24" s="191"/>
    </row>
    <row r="25" spans="1:21" ht="16.5" customHeight="1" hidden="1">
      <c r="A25" s="20" t="s">
        <v>140</v>
      </c>
      <c r="B25" s="193" t="s">
        <v>141</v>
      </c>
      <c r="C25" s="196">
        <f t="shared" si="8"/>
        <v>12.62</v>
      </c>
      <c r="D25" s="197">
        <v>0</v>
      </c>
      <c r="E25" s="197">
        <v>0</v>
      </c>
      <c r="F25" s="197">
        <v>0</v>
      </c>
      <c r="G25" s="197">
        <v>2.94</v>
      </c>
      <c r="H25" s="197">
        <v>0</v>
      </c>
      <c r="I25" s="197">
        <v>9.68</v>
      </c>
      <c r="J25" s="197">
        <v>0</v>
      </c>
      <c r="K25" s="87"/>
      <c r="L25" s="178"/>
      <c r="M25" s="196">
        <f t="shared" si="3"/>
        <v>12.62</v>
      </c>
      <c r="N25" s="196">
        <f t="shared" si="4"/>
        <v>0</v>
      </c>
      <c r="O25" s="196">
        <f t="shared" si="0"/>
        <v>0</v>
      </c>
      <c r="P25" s="196">
        <f t="shared" si="5"/>
        <v>0</v>
      </c>
      <c r="Q25" s="196">
        <f t="shared" si="1"/>
        <v>2.94</v>
      </c>
      <c r="R25" s="196">
        <f t="shared" si="6"/>
        <v>0</v>
      </c>
      <c r="S25" s="196">
        <f t="shared" si="2"/>
        <v>9.68</v>
      </c>
      <c r="T25" s="196">
        <f t="shared" si="7"/>
        <v>0</v>
      </c>
      <c r="U25" s="191"/>
    </row>
    <row r="26" spans="1:21" s="190" customFormat="1" ht="61.5" customHeight="1">
      <c r="A26" s="186">
        <v>6</v>
      </c>
      <c r="B26" s="198" t="s">
        <v>142</v>
      </c>
      <c r="C26" s="199"/>
      <c r="D26" s="200">
        <f>D27+D28</f>
        <v>7905.929999999999</v>
      </c>
      <c r="E26" s="199"/>
      <c r="F26" s="200">
        <f>F27+F28</f>
        <v>7013.26</v>
      </c>
      <c r="G26" s="199"/>
      <c r="H26" s="200">
        <f>H27+H28</f>
        <v>10584.47</v>
      </c>
      <c r="I26" s="199"/>
      <c r="J26" s="200">
        <f>J27+J28</f>
        <v>12633.17</v>
      </c>
      <c r="K26" s="86"/>
      <c r="L26" s="201"/>
      <c r="M26" s="200">
        <f t="shared" si="3"/>
        <v>0</v>
      </c>
      <c r="N26" s="200">
        <f t="shared" si="4"/>
        <v>7905.93</v>
      </c>
      <c r="O26" s="200">
        <f t="shared" si="0"/>
        <v>0</v>
      </c>
      <c r="P26" s="200">
        <f t="shared" si="5"/>
        <v>7013.26</v>
      </c>
      <c r="Q26" s="200">
        <f t="shared" si="1"/>
        <v>0</v>
      </c>
      <c r="R26" s="200">
        <f t="shared" si="6"/>
        <v>10584.47</v>
      </c>
      <c r="S26" s="200">
        <f t="shared" si="2"/>
        <v>0</v>
      </c>
      <c r="T26" s="200">
        <f t="shared" si="7"/>
        <v>12633.17</v>
      </c>
      <c r="U26" s="191"/>
    </row>
    <row r="27" spans="1:20" ht="15" customHeight="1">
      <c r="A27" s="20" t="s">
        <v>143</v>
      </c>
      <c r="B27" s="193" t="s">
        <v>144</v>
      </c>
      <c r="C27" s="202"/>
      <c r="D27" s="203">
        <f>D18</f>
        <v>7576.86</v>
      </c>
      <c r="E27" s="202"/>
      <c r="F27" s="203">
        <f>F18</f>
        <v>7013.26</v>
      </c>
      <c r="G27" s="202"/>
      <c r="H27" s="203">
        <f>H18</f>
        <v>9157.75</v>
      </c>
      <c r="I27" s="202"/>
      <c r="J27" s="203">
        <f>J18</f>
        <v>11206.45</v>
      </c>
      <c r="K27" s="87"/>
      <c r="L27" s="178"/>
      <c r="M27" s="203">
        <f t="shared" si="3"/>
        <v>0</v>
      </c>
      <c r="N27" s="203">
        <f t="shared" si="4"/>
        <v>7576.86</v>
      </c>
      <c r="O27" s="203">
        <f t="shared" si="0"/>
        <v>0</v>
      </c>
      <c r="P27" s="203">
        <f t="shared" si="5"/>
        <v>7013.26</v>
      </c>
      <c r="Q27" s="203">
        <f t="shared" si="1"/>
        <v>0</v>
      </c>
      <c r="R27" s="203">
        <f t="shared" si="6"/>
        <v>9157.75</v>
      </c>
      <c r="S27" s="203">
        <f t="shared" si="2"/>
        <v>0</v>
      </c>
      <c r="T27" s="203">
        <f t="shared" si="7"/>
        <v>11206.45</v>
      </c>
    </row>
    <row r="28" spans="1:20" ht="16.5" customHeight="1">
      <c r="A28" s="20" t="s">
        <v>145</v>
      </c>
      <c r="B28" s="193" t="s">
        <v>139</v>
      </c>
      <c r="C28" s="202"/>
      <c r="D28" s="203">
        <f>D21</f>
        <v>329.07</v>
      </c>
      <c r="E28" s="202"/>
      <c r="F28" s="203">
        <f>F21</f>
        <v>0</v>
      </c>
      <c r="G28" s="202"/>
      <c r="H28" s="203">
        <f>H21</f>
        <v>1426.72</v>
      </c>
      <c r="I28" s="202"/>
      <c r="J28" s="203">
        <f>J21</f>
        <v>1426.72</v>
      </c>
      <c r="K28" s="87"/>
      <c r="L28" s="178"/>
      <c r="M28" s="203">
        <f t="shared" si="3"/>
        <v>0</v>
      </c>
      <c r="N28" s="203">
        <f t="shared" si="4"/>
        <v>329.07</v>
      </c>
      <c r="O28" s="203">
        <f t="shared" si="0"/>
        <v>0</v>
      </c>
      <c r="P28" s="203">
        <f t="shared" si="5"/>
        <v>0</v>
      </c>
      <c r="Q28" s="203">
        <f t="shared" si="1"/>
        <v>0</v>
      </c>
      <c r="R28" s="203">
        <f t="shared" si="6"/>
        <v>1426.72</v>
      </c>
      <c r="S28" s="203">
        <f t="shared" si="2"/>
        <v>0</v>
      </c>
      <c r="T28" s="203">
        <f t="shared" si="7"/>
        <v>1426.72</v>
      </c>
    </row>
    <row r="29" spans="1:20" ht="13.5" customHeight="1" hidden="1">
      <c r="A29" s="204" t="s">
        <v>146</v>
      </c>
      <c r="B29" s="205" t="s">
        <v>141</v>
      </c>
      <c r="C29" s="206">
        <v>2.8772614173753674</v>
      </c>
      <c r="D29" s="207"/>
      <c r="E29" s="207">
        <v>0</v>
      </c>
      <c r="F29" s="208">
        <f>E29/$E$10*1000</f>
        <v>0</v>
      </c>
      <c r="G29" s="207">
        <v>15</v>
      </c>
      <c r="H29" s="207"/>
      <c r="I29" s="207">
        <v>23.5</v>
      </c>
      <c r="J29" s="209"/>
      <c r="K29" s="96"/>
      <c r="L29" s="97"/>
      <c r="M29" s="210">
        <f t="shared" si="3"/>
        <v>2.88</v>
      </c>
      <c r="N29" s="210">
        <f t="shared" si="4"/>
        <v>0</v>
      </c>
      <c r="O29" s="210">
        <f t="shared" si="0"/>
        <v>0</v>
      </c>
      <c r="P29" s="208">
        <f t="shared" si="5"/>
        <v>0</v>
      </c>
      <c r="Q29" s="210">
        <f t="shared" si="1"/>
        <v>15</v>
      </c>
      <c r="R29" s="210">
        <f t="shared" si="6"/>
        <v>0</v>
      </c>
      <c r="S29" s="210">
        <f t="shared" si="2"/>
        <v>23.5</v>
      </c>
      <c r="T29" s="211">
        <f t="shared" si="7"/>
        <v>0</v>
      </c>
    </row>
    <row r="30" spans="1:20" ht="18.75" customHeight="1">
      <c r="A30" s="269" t="s">
        <v>147</v>
      </c>
      <c r="B30" s="269"/>
      <c r="C30" s="269"/>
      <c r="D30" s="269"/>
      <c r="E30" s="269"/>
      <c r="F30" s="269"/>
      <c r="G30" s="269"/>
      <c r="H30" s="269"/>
      <c r="I30" s="269"/>
      <c r="J30" s="269"/>
      <c r="K30" s="270"/>
      <c r="L30" s="270"/>
      <c r="M30" s="270"/>
      <c r="N30" s="270"/>
      <c r="O30" s="270"/>
      <c r="P30" s="270"/>
      <c r="Q30" s="270"/>
      <c r="R30" s="270"/>
      <c r="S30" s="270"/>
      <c r="T30" s="270"/>
    </row>
    <row r="31" spans="1:20" ht="40.5" customHeight="1" hidden="1">
      <c r="A31" s="204">
        <v>7</v>
      </c>
      <c r="B31" s="205" t="s">
        <v>194</v>
      </c>
      <c r="C31" s="204">
        <v>374.145</v>
      </c>
      <c r="D31" s="212"/>
      <c r="E31" s="212">
        <v>312.897</v>
      </c>
      <c r="F31" s="212"/>
      <c r="G31" s="212">
        <v>42.653</v>
      </c>
      <c r="H31" s="212"/>
      <c r="I31" s="212">
        <v>18.595</v>
      </c>
      <c r="J31" s="213"/>
      <c r="K31" s="62"/>
      <c r="L31" s="97"/>
      <c r="M31" s="208">
        <f t="shared" si="3"/>
        <v>374.15</v>
      </c>
      <c r="N31" s="208">
        <f t="shared" si="4"/>
        <v>0</v>
      </c>
      <c r="O31" s="208">
        <f t="shared" si="0"/>
        <v>312.9</v>
      </c>
      <c r="P31" s="208">
        <f t="shared" si="5"/>
        <v>0</v>
      </c>
      <c r="Q31" s="208">
        <f t="shared" si="1"/>
        <v>42.65</v>
      </c>
      <c r="R31" s="208">
        <f t="shared" si="6"/>
        <v>0</v>
      </c>
      <c r="S31" s="208">
        <f t="shared" si="2"/>
        <v>18.6</v>
      </c>
      <c r="T31" s="214">
        <f t="shared" si="7"/>
        <v>0</v>
      </c>
    </row>
    <row r="32" spans="1:21" s="190" customFormat="1" ht="48" customHeight="1">
      <c r="A32" s="186">
        <v>7</v>
      </c>
      <c r="B32" s="187" t="s">
        <v>195</v>
      </c>
      <c r="C32" s="179" t="e">
        <f>E32+G32+I32</f>
        <v>#REF!</v>
      </c>
      <c r="D32" s="179" t="e">
        <f>ROUND(C32/12/C11*1000,2)</f>
        <v>#REF!</v>
      </c>
      <c r="E32" s="179" t="e">
        <f>#REF!/#REF!*#REF!</f>
        <v>#REF!</v>
      </c>
      <c r="F32" s="179" t="e">
        <f>ROUND(E32/E11/12*1000,2)</f>
        <v>#REF!</v>
      </c>
      <c r="G32" s="179" t="e">
        <f>#REF!/#REF!*#REF!</f>
        <v>#REF!</v>
      </c>
      <c r="H32" s="179" t="e">
        <f>ROUND(G32/G11/12*1000,2)</f>
        <v>#REF!</v>
      </c>
      <c r="I32" s="179" t="e">
        <f>#REF!/#REF!*#REF!</f>
        <v>#REF!</v>
      </c>
      <c r="J32" s="179" t="e">
        <f>ROUND(I32/I11/12*1000,2)</f>
        <v>#REF!</v>
      </c>
      <c r="K32" s="86"/>
      <c r="L32" s="188"/>
      <c r="M32" s="189" t="e">
        <f t="shared" si="3"/>
        <v>#REF!</v>
      </c>
      <c r="N32" s="179" t="e">
        <f t="shared" si="4"/>
        <v>#REF!</v>
      </c>
      <c r="O32" s="189" t="e">
        <f t="shared" si="0"/>
        <v>#REF!</v>
      </c>
      <c r="P32" s="179" t="e">
        <f t="shared" si="5"/>
        <v>#REF!</v>
      </c>
      <c r="Q32" s="189" t="e">
        <f t="shared" si="1"/>
        <v>#REF!</v>
      </c>
      <c r="R32" s="179" t="e">
        <f t="shared" si="6"/>
        <v>#REF!</v>
      </c>
      <c r="S32" s="189" t="e">
        <f t="shared" si="2"/>
        <v>#REF!</v>
      </c>
      <c r="T32" s="179" t="e">
        <f t="shared" si="7"/>
        <v>#REF!</v>
      </c>
      <c r="U32" s="191"/>
    </row>
    <row r="33" spans="1:20" ht="36" customHeight="1">
      <c r="A33" s="20">
        <v>8</v>
      </c>
      <c r="B33" s="193" t="s">
        <v>149</v>
      </c>
      <c r="C33" s="194" t="e">
        <f>E33+G33+I33</f>
        <v>#REF!</v>
      </c>
      <c r="D33" s="194" t="e">
        <f>ROUND(C33/C11/12*1000,2)</f>
        <v>#REF!</v>
      </c>
      <c r="E33" s="194" t="e">
        <f>#REF!</f>
        <v>#REF!</v>
      </c>
      <c r="F33" s="194" t="e">
        <f>ROUND(E33/12/E11*1000,2)</f>
        <v>#REF!</v>
      </c>
      <c r="G33" s="194" t="e">
        <f>#REF!</f>
        <v>#REF!</v>
      </c>
      <c r="H33" s="194" t="e">
        <f>ROUND(G33/12/G11*1000,2)</f>
        <v>#REF!</v>
      </c>
      <c r="I33" s="194" t="e">
        <f>#REF!</f>
        <v>#REF!</v>
      </c>
      <c r="J33" s="194" t="e">
        <f>ROUND(I33/12/I11*1000,2)</f>
        <v>#REF!</v>
      </c>
      <c r="K33" s="177"/>
      <c r="L33" s="178"/>
      <c r="M33" s="194" t="e">
        <f t="shared" si="3"/>
        <v>#REF!</v>
      </c>
      <c r="N33" s="194" t="e">
        <f t="shared" si="4"/>
        <v>#REF!</v>
      </c>
      <c r="O33" s="194" t="e">
        <f t="shared" si="0"/>
        <v>#REF!</v>
      </c>
      <c r="P33" s="194" t="e">
        <f t="shared" si="5"/>
        <v>#REF!</v>
      </c>
      <c r="Q33" s="194" t="e">
        <f t="shared" si="1"/>
        <v>#REF!</v>
      </c>
      <c r="R33" s="194" t="e">
        <f t="shared" si="6"/>
        <v>#REF!</v>
      </c>
      <c r="S33" s="194" t="e">
        <f t="shared" si="2"/>
        <v>#REF!</v>
      </c>
      <c r="T33" s="194" t="e">
        <f t="shared" si="7"/>
        <v>#REF!</v>
      </c>
    </row>
    <row r="34" spans="1:20" s="190" customFormat="1" ht="53.25" customHeight="1">
      <c r="A34" s="186">
        <v>9</v>
      </c>
      <c r="B34" s="187" t="s">
        <v>150</v>
      </c>
      <c r="C34" s="199"/>
      <c r="D34" s="200" t="e">
        <f>D35+D36</f>
        <v>#REF!</v>
      </c>
      <c r="E34" s="199"/>
      <c r="F34" s="200" t="e">
        <f>F35+F36</f>
        <v>#REF!</v>
      </c>
      <c r="G34" s="199"/>
      <c r="H34" s="200" t="e">
        <f>H35+H36</f>
        <v>#REF!</v>
      </c>
      <c r="I34" s="199"/>
      <c r="J34" s="200" t="e">
        <f>J35+J36-0.01</f>
        <v>#REF!</v>
      </c>
      <c r="K34" s="86"/>
      <c r="L34" s="188"/>
      <c r="M34" s="200">
        <f t="shared" si="3"/>
        <v>0</v>
      </c>
      <c r="N34" s="200" t="e">
        <f t="shared" si="4"/>
        <v>#REF!</v>
      </c>
      <c r="O34" s="200">
        <f t="shared" si="0"/>
        <v>0</v>
      </c>
      <c r="P34" s="200" t="e">
        <f t="shared" si="5"/>
        <v>#REF!</v>
      </c>
      <c r="Q34" s="200">
        <f t="shared" si="1"/>
        <v>0</v>
      </c>
      <c r="R34" s="200" t="e">
        <f t="shared" si="6"/>
        <v>#REF!</v>
      </c>
      <c r="S34" s="200">
        <f t="shared" si="2"/>
        <v>0</v>
      </c>
      <c r="T34" s="200" t="e">
        <f t="shared" si="7"/>
        <v>#REF!</v>
      </c>
    </row>
    <row r="35" spans="1:20" ht="15" customHeight="1">
      <c r="A35" s="20" t="s">
        <v>151</v>
      </c>
      <c r="B35" s="193" t="s">
        <v>144</v>
      </c>
      <c r="C35" s="63"/>
      <c r="D35" s="194" t="e">
        <f>D32</f>
        <v>#REF!</v>
      </c>
      <c r="E35" s="63"/>
      <c r="F35" s="194" t="e">
        <f>F32</f>
        <v>#REF!</v>
      </c>
      <c r="G35" s="63"/>
      <c r="H35" s="194" t="e">
        <f>H32</f>
        <v>#REF!</v>
      </c>
      <c r="I35" s="63"/>
      <c r="J35" s="194" t="e">
        <f>J32</f>
        <v>#REF!</v>
      </c>
      <c r="K35" s="87"/>
      <c r="L35" s="178"/>
      <c r="M35" s="194">
        <f t="shared" si="3"/>
        <v>0</v>
      </c>
      <c r="N35" s="194" t="e">
        <f t="shared" si="4"/>
        <v>#REF!</v>
      </c>
      <c r="O35" s="194">
        <f t="shared" si="0"/>
        <v>0</v>
      </c>
      <c r="P35" s="194" t="e">
        <f t="shared" si="5"/>
        <v>#REF!</v>
      </c>
      <c r="Q35" s="194">
        <f t="shared" si="1"/>
        <v>0</v>
      </c>
      <c r="R35" s="194" t="e">
        <f t="shared" si="6"/>
        <v>#REF!</v>
      </c>
      <c r="S35" s="194">
        <f t="shared" si="2"/>
        <v>0</v>
      </c>
      <c r="T35" s="194" t="e">
        <f t="shared" si="7"/>
        <v>#REF!</v>
      </c>
    </row>
    <row r="36" spans="1:20" ht="16.5" customHeight="1">
      <c r="A36" s="20" t="s">
        <v>152</v>
      </c>
      <c r="B36" s="193" t="s">
        <v>153</v>
      </c>
      <c r="C36" s="63"/>
      <c r="D36" s="194" t="e">
        <f>D33</f>
        <v>#REF!</v>
      </c>
      <c r="E36" s="63"/>
      <c r="F36" s="194" t="e">
        <f>F33</f>
        <v>#REF!</v>
      </c>
      <c r="G36" s="63"/>
      <c r="H36" s="194" t="e">
        <f>H33</f>
        <v>#REF!</v>
      </c>
      <c r="I36" s="63"/>
      <c r="J36" s="194" t="e">
        <f>J33</f>
        <v>#REF!</v>
      </c>
      <c r="K36" s="87"/>
      <c r="L36" s="178"/>
      <c r="M36" s="194">
        <f t="shared" si="3"/>
        <v>0</v>
      </c>
      <c r="N36" s="194" t="e">
        <f t="shared" si="4"/>
        <v>#REF!</v>
      </c>
      <c r="O36" s="194">
        <f t="shared" si="0"/>
        <v>0</v>
      </c>
      <c r="P36" s="194" t="e">
        <f t="shared" si="5"/>
        <v>#REF!</v>
      </c>
      <c r="Q36" s="194">
        <f t="shared" si="1"/>
        <v>0</v>
      </c>
      <c r="R36" s="194" t="e">
        <f t="shared" si="6"/>
        <v>#REF!</v>
      </c>
      <c r="S36" s="194">
        <f t="shared" si="2"/>
        <v>0</v>
      </c>
      <c r="T36" s="194" t="e">
        <f t="shared" si="7"/>
        <v>#REF!</v>
      </c>
    </row>
    <row r="37" spans="1:20" ht="13.5" customHeight="1" hidden="1">
      <c r="A37" s="204" t="s">
        <v>154</v>
      </c>
      <c r="B37" s="205" t="s">
        <v>141</v>
      </c>
      <c r="C37" s="204">
        <v>0.9693480929149638</v>
      </c>
      <c r="D37" s="212"/>
      <c r="E37" s="212">
        <v>0</v>
      </c>
      <c r="F37" s="212"/>
      <c r="G37" s="212">
        <v>3.84</v>
      </c>
      <c r="H37" s="212"/>
      <c r="I37" s="212">
        <v>10.7</v>
      </c>
      <c r="J37" s="213"/>
      <c r="K37" s="96"/>
      <c r="L37" s="97"/>
      <c r="M37" s="208">
        <f t="shared" si="3"/>
        <v>0.97</v>
      </c>
      <c r="N37" s="208">
        <f t="shared" si="4"/>
        <v>0</v>
      </c>
      <c r="O37" s="208">
        <f t="shared" si="0"/>
        <v>0</v>
      </c>
      <c r="P37" s="208">
        <f t="shared" si="5"/>
        <v>0</v>
      </c>
      <c r="Q37" s="208">
        <f t="shared" si="1"/>
        <v>3.84</v>
      </c>
      <c r="R37" s="208">
        <f t="shared" si="6"/>
        <v>0</v>
      </c>
      <c r="S37" s="208">
        <f t="shared" si="2"/>
        <v>10.7</v>
      </c>
      <c r="T37" s="214">
        <f t="shared" si="7"/>
        <v>0</v>
      </c>
    </row>
    <row r="38" spans="1:20" ht="18.75" customHeight="1">
      <c r="A38" s="269" t="s">
        <v>155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70"/>
      <c r="L38" s="270"/>
      <c r="M38" s="270"/>
      <c r="N38" s="270"/>
      <c r="O38" s="270"/>
      <c r="P38" s="270"/>
      <c r="Q38" s="270"/>
      <c r="R38" s="270"/>
      <c r="S38" s="270"/>
      <c r="T38" s="270"/>
    </row>
    <row r="39" spans="1:21" s="190" customFormat="1" ht="49.5" customHeight="1">
      <c r="A39" s="186">
        <v>10</v>
      </c>
      <c r="B39" s="187" t="s">
        <v>156</v>
      </c>
      <c r="C39" s="179" t="e">
        <f>E39+G39+I39</f>
        <v>#REF!</v>
      </c>
      <c r="D39" s="179" t="e">
        <f>ROUND(C39/12/C11*1000,2)</f>
        <v>#REF!</v>
      </c>
      <c r="E39" s="179" t="e">
        <f>#REF!</f>
        <v>#REF!</v>
      </c>
      <c r="F39" s="179" t="e">
        <f>ROUND(E39/12/E11*1000,2)</f>
        <v>#REF!</v>
      </c>
      <c r="G39" s="179" t="e">
        <f>#REF!</f>
        <v>#REF!</v>
      </c>
      <c r="H39" s="179" t="e">
        <f>ROUND(G39/12/G11*1000,2)</f>
        <v>#REF!</v>
      </c>
      <c r="I39" s="179" t="e">
        <f>#REF!</f>
        <v>#REF!</v>
      </c>
      <c r="J39" s="179" t="e">
        <f>ROUND(I39/12/I11*1000,2)</f>
        <v>#REF!</v>
      </c>
      <c r="K39" s="86"/>
      <c r="L39" s="188"/>
      <c r="M39" s="189" t="e">
        <f t="shared" si="3"/>
        <v>#REF!</v>
      </c>
      <c r="N39" s="179" t="e">
        <f t="shared" si="4"/>
        <v>#REF!</v>
      </c>
      <c r="O39" s="189" t="e">
        <f t="shared" si="0"/>
        <v>#REF!</v>
      </c>
      <c r="P39" s="179" t="e">
        <f t="shared" si="5"/>
        <v>#REF!</v>
      </c>
      <c r="Q39" s="189" t="e">
        <f t="shared" si="1"/>
        <v>#REF!</v>
      </c>
      <c r="R39" s="179" t="e">
        <f t="shared" si="6"/>
        <v>#REF!</v>
      </c>
      <c r="S39" s="189" t="e">
        <f t="shared" si="2"/>
        <v>#REF!</v>
      </c>
      <c r="T39" s="179" t="e">
        <f t="shared" si="7"/>
        <v>#REF!</v>
      </c>
      <c r="U39" s="191"/>
    </row>
    <row r="40" spans="1:20" ht="36" customHeight="1">
      <c r="A40" s="20">
        <v>11</v>
      </c>
      <c r="B40" s="193" t="s">
        <v>157</v>
      </c>
      <c r="C40" s="194" t="e">
        <f>E40+G40+I40</f>
        <v>#REF!</v>
      </c>
      <c r="D40" s="194" t="e">
        <f>ROUND(C40/12/C11*1000,2)</f>
        <v>#REF!</v>
      </c>
      <c r="E40" s="194" t="e">
        <f>#REF!</f>
        <v>#REF!</v>
      </c>
      <c r="F40" s="194" t="e">
        <f>ROUND(E40/12/E11*1000,2)</f>
        <v>#REF!</v>
      </c>
      <c r="G40" s="194" t="e">
        <f>#REF!</f>
        <v>#REF!</v>
      </c>
      <c r="H40" s="194" t="e">
        <f>ROUND(G40/12/G11*1000,2)</f>
        <v>#REF!</v>
      </c>
      <c r="I40" s="194" t="e">
        <f>#REF!</f>
        <v>#REF!</v>
      </c>
      <c r="J40" s="194" t="e">
        <f>ROUND(I40/12/I11*1000,2)</f>
        <v>#REF!</v>
      </c>
      <c r="K40" s="177"/>
      <c r="L40" s="178"/>
      <c r="M40" s="194" t="e">
        <f t="shared" si="3"/>
        <v>#REF!</v>
      </c>
      <c r="N40" s="194" t="e">
        <f t="shared" si="4"/>
        <v>#REF!</v>
      </c>
      <c r="O40" s="194" t="e">
        <f t="shared" si="0"/>
        <v>#REF!</v>
      </c>
      <c r="P40" s="194" t="e">
        <f t="shared" si="5"/>
        <v>#REF!</v>
      </c>
      <c r="Q40" s="194" t="e">
        <f t="shared" si="1"/>
        <v>#REF!</v>
      </c>
      <c r="R40" s="194" t="e">
        <f t="shared" si="6"/>
        <v>#REF!</v>
      </c>
      <c r="S40" s="194" t="e">
        <f t="shared" si="2"/>
        <v>#REF!</v>
      </c>
      <c r="T40" s="194" t="e">
        <f t="shared" si="7"/>
        <v>#REF!</v>
      </c>
    </row>
    <row r="41" spans="1:20" s="190" customFormat="1" ht="47.25" customHeight="1">
      <c r="A41" s="186">
        <v>12</v>
      </c>
      <c r="B41" s="187" t="s">
        <v>158</v>
      </c>
      <c r="C41" s="57"/>
      <c r="D41" s="179" t="e">
        <f>D42+D43</f>
        <v>#REF!</v>
      </c>
      <c r="E41" s="57"/>
      <c r="F41" s="179" t="e">
        <f>F42+F43</f>
        <v>#REF!</v>
      </c>
      <c r="G41" s="57"/>
      <c r="H41" s="179" t="e">
        <f>H42+H43</f>
        <v>#REF!</v>
      </c>
      <c r="I41" s="57"/>
      <c r="J41" s="179" t="e">
        <f>H41</f>
        <v>#REF!</v>
      </c>
      <c r="K41" s="86"/>
      <c r="L41" s="188"/>
      <c r="M41" s="179">
        <f t="shared" si="3"/>
        <v>0</v>
      </c>
      <c r="N41" s="179" t="e">
        <f t="shared" si="4"/>
        <v>#REF!</v>
      </c>
      <c r="O41" s="179">
        <f t="shared" si="0"/>
        <v>0</v>
      </c>
      <c r="P41" s="179" t="e">
        <f t="shared" si="5"/>
        <v>#REF!</v>
      </c>
      <c r="Q41" s="179">
        <f t="shared" si="1"/>
        <v>0</v>
      </c>
      <c r="R41" s="179" t="e">
        <f t="shared" si="6"/>
        <v>#REF!</v>
      </c>
      <c r="S41" s="179">
        <f t="shared" si="2"/>
        <v>0</v>
      </c>
      <c r="T41" s="179" t="e">
        <f t="shared" si="7"/>
        <v>#REF!</v>
      </c>
    </row>
    <row r="42" spans="1:20" ht="16.5" customHeight="1">
      <c r="A42" s="20" t="s">
        <v>159</v>
      </c>
      <c r="B42" s="193" t="s">
        <v>144</v>
      </c>
      <c r="C42" s="63"/>
      <c r="D42" s="194" t="e">
        <f>D39</f>
        <v>#REF!</v>
      </c>
      <c r="E42" s="63"/>
      <c r="F42" s="194" t="e">
        <f>F39</f>
        <v>#REF!</v>
      </c>
      <c r="G42" s="63"/>
      <c r="H42" s="194" t="e">
        <f>H39</f>
        <v>#REF!</v>
      </c>
      <c r="I42" s="63"/>
      <c r="J42" s="194" t="e">
        <f>J39</f>
        <v>#REF!</v>
      </c>
      <c r="K42" s="87"/>
      <c r="L42" s="178"/>
      <c r="M42" s="194">
        <f t="shared" si="3"/>
        <v>0</v>
      </c>
      <c r="N42" s="194" t="e">
        <f t="shared" si="4"/>
        <v>#REF!</v>
      </c>
      <c r="O42" s="194">
        <f t="shared" si="0"/>
        <v>0</v>
      </c>
      <c r="P42" s="194" t="e">
        <f t="shared" si="5"/>
        <v>#REF!</v>
      </c>
      <c r="Q42" s="194">
        <f t="shared" si="1"/>
        <v>0</v>
      </c>
      <c r="R42" s="194" t="e">
        <f t="shared" si="6"/>
        <v>#REF!</v>
      </c>
      <c r="S42" s="194">
        <f t="shared" si="2"/>
        <v>0</v>
      </c>
      <c r="T42" s="194" t="e">
        <f t="shared" si="7"/>
        <v>#REF!</v>
      </c>
    </row>
    <row r="43" spans="1:20" ht="15" customHeight="1">
      <c r="A43" s="20" t="s">
        <v>160</v>
      </c>
      <c r="B43" s="193" t="s">
        <v>161</v>
      </c>
      <c r="C43" s="63"/>
      <c r="D43" s="194" t="e">
        <f>D40</f>
        <v>#REF!</v>
      </c>
      <c r="E43" s="63"/>
      <c r="F43" s="194" t="e">
        <f>F40</f>
        <v>#REF!</v>
      </c>
      <c r="G43" s="63"/>
      <c r="H43" s="194" t="e">
        <f>H40</f>
        <v>#REF!</v>
      </c>
      <c r="I43" s="63"/>
      <c r="J43" s="194" t="e">
        <f>J40</f>
        <v>#REF!</v>
      </c>
      <c r="K43" s="87"/>
      <c r="L43" s="178"/>
      <c r="M43" s="194">
        <f t="shared" si="3"/>
        <v>0</v>
      </c>
      <c r="N43" s="194" t="e">
        <f t="shared" si="4"/>
        <v>#REF!</v>
      </c>
      <c r="O43" s="194">
        <f t="shared" si="0"/>
        <v>0</v>
      </c>
      <c r="P43" s="194" t="e">
        <f t="shared" si="5"/>
        <v>#REF!</v>
      </c>
      <c r="Q43" s="194">
        <f t="shared" si="1"/>
        <v>0</v>
      </c>
      <c r="R43" s="194" t="e">
        <f t="shared" si="6"/>
        <v>#REF!</v>
      </c>
      <c r="S43" s="194">
        <f t="shared" si="2"/>
        <v>0</v>
      </c>
      <c r="T43" s="194" t="e">
        <f t="shared" si="7"/>
        <v>#REF!</v>
      </c>
    </row>
    <row r="44" spans="1:20" ht="13.5" customHeight="1" hidden="1">
      <c r="A44" s="204" t="s">
        <v>196</v>
      </c>
      <c r="B44" s="205" t="s">
        <v>141</v>
      </c>
      <c r="C44" s="204">
        <v>0.6475228357214132</v>
      </c>
      <c r="D44" s="212"/>
      <c r="E44" s="212">
        <v>0</v>
      </c>
      <c r="F44" s="212"/>
      <c r="G44" s="212">
        <v>3.84</v>
      </c>
      <c r="H44" s="212"/>
      <c r="I44" s="212">
        <v>10.7</v>
      </c>
      <c r="J44" s="213"/>
      <c r="K44" s="96"/>
      <c r="L44" s="97"/>
      <c r="M44" s="215">
        <f t="shared" si="3"/>
        <v>0.65</v>
      </c>
      <c r="N44" s="215">
        <f t="shared" si="4"/>
        <v>0</v>
      </c>
      <c r="O44" s="215">
        <f t="shared" si="0"/>
        <v>0</v>
      </c>
      <c r="P44" s="215">
        <f t="shared" si="5"/>
        <v>0</v>
      </c>
      <c r="Q44" s="215">
        <f t="shared" si="1"/>
        <v>3.84</v>
      </c>
      <c r="R44" s="215">
        <f t="shared" si="6"/>
        <v>0</v>
      </c>
      <c r="S44" s="215">
        <f t="shared" si="2"/>
        <v>10.7</v>
      </c>
      <c r="T44" s="214">
        <f t="shared" si="7"/>
        <v>0</v>
      </c>
    </row>
    <row r="45" spans="1:20" ht="15.75" customHeight="1">
      <c r="A45" s="269" t="s">
        <v>162</v>
      </c>
      <c r="B45" s="269"/>
      <c r="C45" s="269"/>
      <c r="D45" s="269"/>
      <c r="E45" s="269"/>
      <c r="F45" s="269"/>
      <c r="G45" s="269"/>
      <c r="H45" s="269"/>
      <c r="I45" s="269"/>
      <c r="J45" s="269"/>
      <c r="K45" s="270"/>
      <c r="L45" s="270"/>
      <c r="M45" s="270"/>
      <c r="N45" s="270"/>
      <c r="O45" s="270"/>
      <c r="P45" s="270"/>
      <c r="Q45" s="270"/>
      <c r="R45" s="270"/>
      <c r="S45" s="270"/>
      <c r="T45" s="270"/>
    </row>
    <row r="46" spans="1:21" s="190" customFormat="1" ht="35.25" customHeight="1">
      <c r="A46" s="186">
        <v>13</v>
      </c>
      <c r="B46" s="187" t="s">
        <v>163</v>
      </c>
      <c r="C46" s="57"/>
      <c r="D46" s="179">
        <f>D47+D48</f>
        <v>324.5</v>
      </c>
      <c r="E46" s="57"/>
      <c r="F46" s="179">
        <f>F47+F48</f>
        <v>213.69</v>
      </c>
      <c r="G46" s="57"/>
      <c r="H46" s="179">
        <f>H47+H48</f>
        <v>426.24</v>
      </c>
      <c r="I46" s="57"/>
      <c r="J46" s="179" t="e">
        <f>J47+J48</f>
        <v>#DIV/0!</v>
      </c>
      <c r="K46" s="86"/>
      <c r="L46" s="188"/>
      <c r="M46" s="179">
        <f t="shared" si="3"/>
        <v>0</v>
      </c>
      <c r="N46" s="179">
        <f t="shared" si="4"/>
        <v>324.5</v>
      </c>
      <c r="O46" s="179">
        <f t="shared" si="0"/>
        <v>0</v>
      </c>
      <c r="P46" s="179">
        <f t="shared" si="5"/>
        <v>213.69</v>
      </c>
      <c r="Q46" s="179">
        <f t="shared" si="1"/>
        <v>0</v>
      </c>
      <c r="R46" s="179">
        <f t="shared" si="6"/>
        <v>426.24</v>
      </c>
      <c r="S46" s="179">
        <f t="shared" si="2"/>
        <v>0</v>
      </c>
      <c r="T46" s="179" t="e">
        <f t="shared" si="7"/>
        <v>#DIV/0!</v>
      </c>
      <c r="U46" s="191"/>
    </row>
    <row r="47" spans="1:20" ht="16.5">
      <c r="A47" s="20" t="s">
        <v>164</v>
      </c>
      <c r="B47" s="193" t="s">
        <v>144</v>
      </c>
      <c r="C47" s="63"/>
      <c r="D47" s="194">
        <f>D23</f>
        <v>299.54</v>
      </c>
      <c r="E47" s="63"/>
      <c r="F47" s="194">
        <f>F23</f>
        <v>213.69</v>
      </c>
      <c r="G47" s="63"/>
      <c r="H47" s="194">
        <f>H23</f>
        <v>368.62</v>
      </c>
      <c r="I47" s="63"/>
      <c r="J47" s="194" t="e">
        <f>J23</f>
        <v>#DIV/0!</v>
      </c>
      <c r="K47" s="87"/>
      <c r="L47" s="178"/>
      <c r="M47" s="194">
        <f t="shared" si="3"/>
        <v>0</v>
      </c>
      <c r="N47" s="194">
        <f t="shared" si="4"/>
        <v>299.54</v>
      </c>
      <c r="O47" s="194">
        <f t="shared" si="0"/>
        <v>0</v>
      </c>
      <c r="P47" s="194">
        <f t="shared" si="5"/>
        <v>213.69</v>
      </c>
      <c r="Q47" s="194">
        <f t="shared" si="1"/>
        <v>0</v>
      </c>
      <c r="R47" s="194">
        <f t="shared" si="6"/>
        <v>368.62</v>
      </c>
      <c r="S47" s="194">
        <f t="shared" si="2"/>
        <v>0</v>
      </c>
      <c r="T47" s="194" t="e">
        <f t="shared" si="7"/>
        <v>#DIV/0!</v>
      </c>
    </row>
    <row r="48" spans="1:20" ht="16.5">
      <c r="A48" s="20" t="s">
        <v>165</v>
      </c>
      <c r="B48" s="193" t="s">
        <v>139</v>
      </c>
      <c r="C48" s="63"/>
      <c r="D48" s="194">
        <f>D24</f>
        <v>24.96</v>
      </c>
      <c r="E48" s="63"/>
      <c r="F48" s="194">
        <f>F24</f>
        <v>0</v>
      </c>
      <c r="G48" s="63"/>
      <c r="H48" s="194">
        <f>H24</f>
        <v>57.62</v>
      </c>
      <c r="I48" s="63"/>
      <c r="J48" s="194" t="e">
        <f>J24</f>
        <v>#DIV/0!</v>
      </c>
      <c r="K48" s="87"/>
      <c r="L48" s="178"/>
      <c r="M48" s="194">
        <f t="shared" si="3"/>
        <v>0</v>
      </c>
      <c r="N48" s="194">
        <f t="shared" si="4"/>
        <v>24.96</v>
      </c>
      <c r="O48" s="194">
        <f t="shared" si="0"/>
        <v>0</v>
      </c>
      <c r="P48" s="194">
        <f t="shared" si="5"/>
        <v>0</v>
      </c>
      <c r="Q48" s="194">
        <f t="shared" si="1"/>
        <v>0</v>
      </c>
      <c r="R48" s="194">
        <f t="shared" si="6"/>
        <v>57.62</v>
      </c>
      <c r="S48" s="194">
        <f t="shared" si="2"/>
        <v>0</v>
      </c>
      <c r="T48" s="194" t="e">
        <f t="shared" si="7"/>
        <v>#DIV/0!</v>
      </c>
    </row>
    <row r="49" spans="1:20" ht="16.5" customHeight="1" hidden="1">
      <c r="A49" s="20" t="s">
        <v>166</v>
      </c>
      <c r="B49" s="193" t="s">
        <v>141</v>
      </c>
      <c r="C49" s="89">
        <v>1.92</v>
      </c>
      <c r="D49" s="89">
        <v>0</v>
      </c>
      <c r="E49" s="89">
        <v>0</v>
      </c>
      <c r="F49" s="89">
        <v>0</v>
      </c>
      <c r="G49" s="89">
        <v>2.94</v>
      </c>
      <c r="H49" s="89">
        <v>0</v>
      </c>
      <c r="I49" s="89">
        <v>9.68</v>
      </c>
      <c r="J49" s="89">
        <v>0</v>
      </c>
      <c r="K49" s="87"/>
      <c r="L49" s="178"/>
      <c r="M49" s="195">
        <f t="shared" si="3"/>
        <v>1.92</v>
      </c>
      <c r="N49" s="195">
        <f t="shared" si="4"/>
        <v>0</v>
      </c>
      <c r="O49" s="195">
        <f t="shared" si="0"/>
        <v>0</v>
      </c>
      <c r="P49" s="195">
        <f t="shared" si="5"/>
        <v>0</v>
      </c>
      <c r="Q49" s="195">
        <f t="shared" si="1"/>
        <v>2.94</v>
      </c>
      <c r="R49" s="195">
        <f t="shared" si="6"/>
        <v>0</v>
      </c>
      <c r="S49" s="195">
        <f t="shared" si="2"/>
        <v>9.68</v>
      </c>
      <c r="T49" s="195">
        <f t="shared" si="7"/>
        <v>0</v>
      </c>
    </row>
    <row r="50" spans="1:20" s="190" customFormat="1" ht="63" customHeight="1">
      <c r="A50" s="186">
        <v>14</v>
      </c>
      <c r="B50" s="187" t="s">
        <v>167</v>
      </c>
      <c r="C50" s="57"/>
      <c r="D50" s="179" t="e">
        <f>D51+D52</f>
        <v>#REF!</v>
      </c>
      <c r="E50" s="57"/>
      <c r="F50" s="179" t="e">
        <f>F51+F52</f>
        <v>#REF!</v>
      </c>
      <c r="G50" s="57"/>
      <c r="H50" s="179" t="e">
        <f>H51+H52</f>
        <v>#REF!</v>
      </c>
      <c r="I50" s="57"/>
      <c r="J50" s="179" t="e">
        <f>J51+J52</f>
        <v>#REF!</v>
      </c>
      <c r="K50" s="86"/>
      <c r="L50" s="188"/>
      <c r="M50" s="179">
        <f t="shared" si="3"/>
        <v>0</v>
      </c>
      <c r="N50" s="179" t="e">
        <f t="shared" si="4"/>
        <v>#REF!</v>
      </c>
      <c r="O50" s="179">
        <f t="shared" si="0"/>
        <v>0</v>
      </c>
      <c r="P50" s="179" t="e">
        <f t="shared" si="5"/>
        <v>#REF!</v>
      </c>
      <c r="Q50" s="179">
        <f t="shared" si="1"/>
        <v>0</v>
      </c>
      <c r="R50" s="179" t="e">
        <f t="shared" si="6"/>
        <v>#REF!</v>
      </c>
      <c r="S50" s="179">
        <f t="shared" si="2"/>
        <v>0</v>
      </c>
      <c r="T50" s="179" t="e">
        <f t="shared" si="7"/>
        <v>#REF!</v>
      </c>
    </row>
    <row r="51" spans="1:20" ht="16.5">
      <c r="A51" s="20" t="s">
        <v>168</v>
      </c>
      <c r="B51" s="193" t="s">
        <v>144</v>
      </c>
      <c r="C51" s="63"/>
      <c r="D51" s="194" t="e">
        <f>D27+D35+D42</f>
        <v>#REF!</v>
      </c>
      <c r="E51" s="63"/>
      <c r="F51" s="194" t="e">
        <f>F27+F35+F42</f>
        <v>#REF!</v>
      </c>
      <c r="G51" s="63"/>
      <c r="H51" s="194" t="e">
        <f>H27+H35+H42</f>
        <v>#REF!</v>
      </c>
      <c r="I51" s="63"/>
      <c r="J51" s="194" t="e">
        <f>J27+J35+J42</f>
        <v>#REF!</v>
      </c>
      <c r="K51" s="87"/>
      <c r="L51" s="178"/>
      <c r="M51" s="194">
        <f t="shared" si="3"/>
        <v>0</v>
      </c>
      <c r="N51" s="194" t="e">
        <f t="shared" si="4"/>
        <v>#REF!</v>
      </c>
      <c r="O51" s="194">
        <f t="shared" si="0"/>
        <v>0</v>
      </c>
      <c r="P51" s="194" t="e">
        <f t="shared" si="5"/>
        <v>#REF!</v>
      </c>
      <c r="Q51" s="194">
        <f t="shared" si="1"/>
        <v>0</v>
      </c>
      <c r="R51" s="194" t="e">
        <f t="shared" si="6"/>
        <v>#REF!</v>
      </c>
      <c r="S51" s="194">
        <f t="shared" si="2"/>
        <v>0</v>
      </c>
      <c r="T51" s="194" t="e">
        <f t="shared" si="7"/>
        <v>#REF!</v>
      </c>
    </row>
    <row r="52" spans="1:20" ht="16.5">
      <c r="A52" s="20" t="s">
        <v>169</v>
      </c>
      <c r="B52" s="193" t="s">
        <v>139</v>
      </c>
      <c r="C52" s="63"/>
      <c r="D52" s="194" t="e">
        <f>D28+D36+D43</f>
        <v>#REF!</v>
      </c>
      <c r="E52" s="63"/>
      <c r="F52" s="194" t="e">
        <f>F28+F36+F43</f>
        <v>#REF!</v>
      </c>
      <c r="G52" s="63"/>
      <c r="H52" s="194" t="e">
        <f>H28+H36+H43</f>
        <v>#REF!</v>
      </c>
      <c r="I52" s="63"/>
      <c r="J52" s="194" t="e">
        <f>J28+J36+J43</f>
        <v>#REF!</v>
      </c>
      <c r="K52" s="87"/>
      <c r="L52" s="178"/>
      <c r="M52" s="194">
        <f t="shared" si="3"/>
        <v>0</v>
      </c>
      <c r="N52" s="194" t="e">
        <f t="shared" si="4"/>
        <v>#REF!</v>
      </c>
      <c r="O52" s="194">
        <f t="shared" si="0"/>
        <v>0</v>
      </c>
      <c r="P52" s="194" t="e">
        <f t="shared" si="5"/>
        <v>#REF!</v>
      </c>
      <c r="Q52" s="194">
        <f t="shared" si="1"/>
        <v>0</v>
      </c>
      <c r="R52" s="194" t="e">
        <f t="shared" si="6"/>
        <v>#REF!</v>
      </c>
      <c r="S52" s="194">
        <f t="shared" si="2"/>
        <v>0</v>
      </c>
      <c r="T52" s="194" t="e">
        <f t="shared" si="7"/>
        <v>#REF!</v>
      </c>
    </row>
    <row r="53" spans="1:17" ht="13.5" hidden="1">
      <c r="A53" s="94" t="s">
        <v>170</v>
      </c>
      <c r="B53" s="95" t="s">
        <v>141</v>
      </c>
      <c r="C53" s="216">
        <v>1.9263131866225296</v>
      </c>
      <c r="D53" s="217"/>
      <c r="E53" s="217">
        <v>0</v>
      </c>
      <c r="F53" s="217"/>
      <c r="G53" s="217">
        <v>9.878633500908602</v>
      </c>
      <c r="H53" s="217"/>
      <c r="I53" s="217">
        <v>17.62603125552242</v>
      </c>
      <c r="J53" s="218"/>
      <c r="K53" s="219"/>
      <c r="L53" s="219"/>
      <c r="M53" s="219"/>
      <c r="N53" s="219"/>
      <c r="O53" s="220"/>
      <c r="P53" s="220"/>
      <c r="Q53" s="220"/>
    </row>
    <row r="54" spans="1:17" ht="13.5">
      <c r="A54" s="169"/>
      <c r="B54" s="169"/>
      <c r="C54" s="169"/>
      <c r="D54" s="221"/>
      <c r="E54" s="221"/>
      <c r="F54" s="221"/>
      <c r="G54" s="221"/>
      <c r="H54" s="221"/>
      <c r="I54" s="221"/>
      <c r="J54" s="218"/>
      <c r="K54" s="219"/>
      <c r="L54" s="219"/>
      <c r="M54" s="219"/>
      <c r="N54" s="219"/>
      <c r="O54" s="220"/>
      <c r="P54" s="220"/>
      <c r="Q54" s="220"/>
    </row>
    <row r="55" spans="1:17" ht="13.5">
      <c r="A55" s="169"/>
      <c r="B55" s="169"/>
      <c r="C55" s="169"/>
      <c r="D55" s="221"/>
      <c r="E55" s="221"/>
      <c r="F55" s="221"/>
      <c r="G55" s="221"/>
      <c r="H55" s="221"/>
      <c r="I55" s="221"/>
      <c r="J55" s="218"/>
      <c r="K55" s="219"/>
      <c r="L55" s="219"/>
      <c r="M55" s="219"/>
      <c r="N55" s="219"/>
      <c r="O55" s="220"/>
      <c r="P55" s="220"/>
      <c r="Q55" s="220"/>
    </row>
    <row r="56" spans="2:10" s="2" customFormat="1" ht="15" hidden="1">
      <c r="B56" s="44" t="s">
        <v>60</v>
      </c>
      <c r="C56" s="85"/>
      <c r="D56" s="222"/>
      <c r="E56" s="222"/>
      <c r="F56" s="222"/>
      <c r="G56" s="223"/>
      <c r="H56" s="224"/>
      <c r="I56" s="224" t="s">
        <v>61</v>
      </c>
      <c r="J56" s="223"/>
    </row>
    <row r="57" spans="1:17" ht="15">
      <c r="A57" s="225" t="s">
        <v>171</v>
      </c>
      <c r="B57" s="226"/>
      <c r="C57" s="226"/>
      <c r="D57" s="226"/>
      <c r="E57" s="226"/>
      <c r="F57" s="226"/>
      <c r="G57" s="226"/>
      <c r="H57" s="226"/>
      <c r="I57" s="227" t="s">
        <v>197</v>
      </c>
      <c r="J57" s="218"/>
      <c r="K57" s="220"/>
      <c r="L57" s="220"/>
      <c r="M57" s="220"/>
      <c r="N57" s="220"/>
      <c r="O57" s="220"/>
      <c r="P57" s="220"/>
      <c r="Q57" s="220"/>
    </row>
  </sheetData>
  <sheetProtection selectLockedCells="1" selectUnlockedCells="1"/>
  <mergeCells count="22">
    <mergeCell ref="A45:J45"/>
    <mergeCell ref="K45:T45"/>
    <mergeCell ref="A12:J12"/>
    <mergeCell ref="K12:T12"/>
    <mergeCell ref="A30:J30"/>
    <mergeCell ref="K30:T30"/>
    <mergeCell ref="A38:J38"/>
    <mergeCell ref="K38:T38"/>
    <mergeCell ref="K7:K8"/>
    <mergeCell ref="L7:L8"/>
    <mergeCell ref="M7:N7"/>
    <mergeCell ref="O7:P7"/>
    <mergeCell ref="Q7:R7"/>
    <mergeCell ref="S7:T7"/>
    <mergeCell ref="A5:J5"/>
    <mergeCell ref="C6:G6"/>
    <mergeCell ref="A7:A8"/>
    <mergeCell ref="B7:B8"/>
    <mergeCell ref="C7:D7"/>
    <mergeCell ref="E7:F7"/>
    <mergeCell ref="G7:H7"/>
    <mergeCell ref="I7:J7"/>
  </mergeCells>
  <printOptions horizontalCentered="1"/>
  <pageMargins left="0.43333333333333335" right="0.43333333333333335" top="0.5513888888888889" bottom="0.15763888888888888" header="0.5118055555555555" footer="0.5118055555555555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ECONOM</cp:lastModifiedBy>
  <cp:lastPrinted>2020-07-23T13:34:20Z</cp:lastPrinted>
  <dcterms:created xsi:type="dcterms:W3CDTF">2017-10-10T11:57:42Z</dcterms:created>
  <dcterms:modified xsi:type="dcterms:W3CDTF">2021-07-22T13:40:44Z</dcterms:modified>
  <cp:category/>
  <cp:version/>
  <cp:contentType/>
  <cp:contentStatus/>
</cp:coreProperties>
</file>